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11535" activeTab="0"/>
  </bookViews>
  <sheets>
    <sheet name="Introduction" sheetId="1" r:id="rId1"/>
    <sheet name="Using your inputs" sheetId="2" r:id="rId2"/>
    <sheet name="Historical Perspective" sheetId="3" r:id="rId3"/>
  </sheets>
  <definedNames/>
  <calcPr fullCalcOnLoad="1"/>
</workbook>
</file>

<file path=xl/sharedStrings.xml><?xml version="1.0" encoding="utf-8"?>
<sst xmlns="http://schemas.openxmlformats.org/spreadsheetml/2006/main" count="451" uniqueCount="296">
  <si>
    <t>IRA</t>
  </si>
  <si>
    <t>Roth</t>
  </si>
  <si>
    <t>Tax rates</t>
  </si>
  <si>
    <t>RMD</t>
  </si>
  <si>
    <t>Return</t>
  </si>
  <si>
    <t>Age</t>
  </si>
  <si>
    <t>Divisor</t>
  </si>
  <si>
    <t>Should I convert an IRA to a Roth?</t>
  </si>
  <si>
    <t>Copyright 2009 Henry K. Hebeler</t>
  </si>
  <si>
    <t>After-tax</t>
  </si>
  <si>
    <t>Inflation</t>
  </si>
  <si>
    <t>Non Qual</t>
  </si>
  <si>
    <t>Expenses</t>
  </si>
  <si>
    <t>Beginning year value</t>
  </si>
  <si>
    <t>Roth Draw</t>
  </si>
  <si>
    <t>Balance</t>
  </si>
  <si>
    <t>IRA Draw</t>
  </si>
  <si>
    <t>Additional</t>
  </si>
  <si>
    <t>Convert to Roth</t>
  </si>
  <si>
    <t>No conversion</t>
  </si>
  <si>
    <t>Your age for the conversion</t>
  </si>
  <si>
    <t>No Conversion</t>
  </si>
  <si>
    <t>Convert IRA to Roth</t>
  </si>
  <si>
    <t>Disclaimer:</t>
  </si>
  <si>
    <t>THIS PROGRAM IS PRESENTED "AS IS".  THE AUTHOR AND PUBLISHER MAKE NO GUARANTEES OR WARRANTIES OF ANY</t>
  </si>
  <si>
    <t xml:space="preserve">KIND REGARDING THIS PROGRAM OR THE LEGALITY OR CORRECTNESS OF ANY DOCUMENT OR PLAN CREATED </t>
  </si>
  <si>
    <t xml:space="preserve">HEREWITH.  THEY DO NOT GUARANTEE OR WARRANT THAT THIS PROGRAM WILL MEET YOUR REQUIREMENTS, ACHIEVE </t>
  </si>
  <si>
    <t>YOUR INTENDED RESULTS, OR BE WITHOUT DEFECT OR ERROR.  YOU ASSUME ALL RISKS REGARDING THE  LEGALITY</t>
  </si>
  <si>
    <t>AND USE OR MISUSE OF THE PROGRAM OR PLAN CREATED FROM IT.  THE AUTHOR AND PUBLISHER EXPRESSLY</t>
  </si>
  <si>
    <t>DISCLAIM ANY AND ALL IMPLIED WARRANTIES OR MERCHANTABILITY AND FITNESS FOR A PARTICULAR USE.  UNDER</t>
  </si>
  <si>
    <t>NO CIRCUMSTANCE SHALL THEY BE LIABLE FOR FINANCIAL OUTCOMES OR ANY SPECIAL, INCIDENTAL, CONSEQUENTIAL</t>
  </si>
  <si>
    <t xml:space="preserve">OR OTHER DAMAGES ARISING OUT OF THE USE OR INABILITY TO USE THIS PROGRAM, EVEN IF THEY HAVE BEEN ADVISED </t>
  </si>
  <si>
    <t xml:space="preserve">OF THE POSSIBILITY OR SUCH DAMAGES.  THEIR TOTAL  LIABILITY SHALL BE LIMITED TO THE PURCHASE PRICE.  SOME </t>
  </si>
  <si>
    <t xml:space="preserve">STATES DO NOT ALLOW THE LIMITATION AND/OR EXCLUSION OF IMPLIED WARRANTIES OR DAMAGES.  YOU  MAY HAVE </t>
  </si>
  <si>
    <t xml:space="preserve">OTHER RIGHTS THAT VARY FROM STATE TO STATE.  THE AUTHOR AND PUBLISHER ARE NOT PROVIDING LEGAL, </t>
  </si>
  <si>
    <t xml:space="preserve">INVESTMENT, TAX, OR  ACCOUNTING ADVICE.  THIS PROGRAM IS NOT A SUBSTITUTE FOR QUALIFIED PROFESSIONALS. </t>
  </si>
  <si>
    <t xml:space="preserve">YOU SHOULD SEEK THE ADVICE OF QUALIFIED PROFESSIONALS FOR ALL OF YOUR LEGAL, INVESTMENT, TAX, </t>
  </si>
  <si>
    <t>ACCOUNTING AND FINANCIAL PLANNING NEEDS.  THE USER OF THIS PROGRAM AGREES THAT ANY LEGAL ISSUE SHALL</t>
  </si>
  <si>
    <t>BE GOVERNED BY AND UNDER THE LAWS OF THE STATE OF WASHINGTON.</t>
  </si>
  <si>
    <t>Results are highly dependent on assumptions, particularly spending, tax rates, inflation and returns.</t>
  </si>
  <si>
    <t>Index</t>
  </si>
  <si>
    <t>Before making a commitment to convert, it is wise to do comprehensive planning using a program like the</t>
  </si>
  <si>
    <t>Pre and Post Retirement Planner from www.analyzenow.com as well as to see a professional planner.</t>
  </si>
  <si>
    <r>
      <t xml:space="preserve">ONLY make entries in the </t>
    </r>
    <r>
      <rPr>
        <b/>
        <sz val="11"/>
        <color indexed="30"/>
        <rFont val="Calibri"/>
        <family val="2"/>
      </rPr>
      <t>BLUE</t>
    </r>
    <r>
      <rPr>
        <sz val="11"/>
        <color theme="1"/>
        <rFont val="Calibri"/>
        <family val="2"/>
      </rPr>
      <t xml:space="preserve"> cells below.  All other cells are protected.</t>
    </r>
  </si>
  <si>
    <t>The program provides for a gradual change in taxes, inflation and returns between the 2nd and 6th years.</t>
  </si>
  <si>
    <t>Returns</t>
  </si>
  <si>
    <t>The program accounts for Required Minimum Distributions (RMDs) from the IRA.</t>
  </si>
  <si>
    <t>in 2nd year</t>
  </si>
  <si>
    <t>in 6th year</t>
  </si>
  <si>
    <t>Balance in IRA for conversion.  An IRA is a "qualified" investment meaning</t>
  </si>
  <si>
    <t>taxes are paid only on any withdrawal.  Qualified accounts are subject to many rules.</t>
  </si>
  <si>
    <t>Some of the other rules relate to ages where you can take action, many of which are</t>
  </si>
  <si>
    <t>described below.</t>
  </si>
  <si>
    <t>The program compares results from (1) an unconverted traditional IRA plus a non qualified</t>
  </si>
  <si>
    <t>account with a case (2) in which a traditional IRA is converted to a Roth IRA with whatever</t>
  </si>
  <si>
    <t>in 1st year</t>
  </si>
  <si>
    <t>www.analyzenow.com.</t>
  </si>
  <si>
    <t>Draw from IRA</t>
  </si>
  <si>
    <t>Draw from Roth</t>
  </si>
  <si>
    <t>Age to start withdrawals for spending.</t>
  </si>
  <si>
    <t>residual non qualified account remains after paying tax on the conversion.  The advantage</t>
  </si>
  <si>
    <t>any amount in any year except the first 5 years after the conversion.</t>
  </si>
  <si>
    <t>of a Roth IRA is that withdrawals and growth are tax free, and withdrawals can be made in</t>
  </si>
  <si>
    <t>Use of this program implies that you accept the Disclaimer at the bottom of the page.</t>
  </si>
  <si>
    <t>Retirement returns depend on investments</t>
  </si>
  <si>
    <t>but often average 1% to 4% above inflation</t>
  </si>
  <si>
    <t>for retirement investment allocations.  You</t>
  </si>
  <si>
    <t>can see the extraordinary effects of retiring</t>
  </si>
  <si>
    <t>in very good years vs. very bad years by using</t>
  </si>
  <si>
    <t>Tax Rate</t>
  </si>
  <si>
    <t>the actual return histories for different</t>
  </si>
  <si>
    <t>investment allocations using the Pre and</t>
  </si>
  <si>
    <t>Post Retirement Planner on the Web site</t>
  </si>
  <si>
    <t>This program assumes that you will use taxable funds not in the IRA to pay the conversion tax.</t>
  </si>
  <si>
    <t>Percent of your IRA that is fully taxable.  (Usually 100% unless some of your</t>
  </si>
  <si>
    <t>contributions were made from after-tax income and not deducted on a 1040 return.)</t>
  </si>
  <si>
    <t>Balance in non qualified account, i.e., one that is not tax-deferred as is an IRA.  This must</t>
  </si>
  <si>
    <t>i948</t>
  </si>
  <si>
    <t>S&amp;P 500</t>
  </si>
  <si>
    <t>Cost</t>
  </si>
  <si>
    <t>This tab uses licensed securities indexes which requires that you share in the cost.</t>
  </si>
  <si>
    <t>Actual future returns and inflation can make a huge difference in your results.  We can't</t>
  </si>
  <si>
    <t>predict the future, but we can show you what would have happened using two scenarios</t>
  </si>
  <si>
    <t>returns.  The scenario starting in 1965 is just the opposite.  You can compare these results</t>
  </si>
  <si>
    <t>with those of your own inflation and return scenario.</t>
  </si>
  <si>
    <t>To use this tab, you must enter the password:</t>
  </si>
  <si>
    <t>with your email address written clearly twice so that we can tell a 1 from an l, 0 from an o, etc.</t>
  </si>
  <si>
    <t xml:space="preserve">This tab allows you to choose between inflation and returns of your own choosing and those from </t>
  </si>
  <si>
    <t>Your own choice of returns and inflation:</t>
  </si>
  <si>
    <t>Your choice</t>
  </si>
  <si>
    <t>To get the password, send a check for $19.00 to Analyze Now, PO Box 5904, Kent, WA 98064 along</t>
  </si>
  <si>
    <t>Your choice provides for a gradual change</t>
  </si>
  <si>
    <t>in inflation and returns between the 2nd</t>
  </si>
  <si>
    <t>and 6th years.  See chart on right</t>
  </si>
  <si>
    <t>In the 1948 and 1965 scenarios, you must also make provisions for investment costs from mutual fund,</t>
  </si>
  <si>
    <t>brokers and advisors.  You can account for those in your own choice of returns above, but the 1945</t>
  </si>
  <si>
    <t>and 1965 scenarios require that you make an estimate.  Typical costs are about 1% plus another 1% if</t>
  </si>
  <si>
    <t>Investment costs</t>
  </si>
  <si>
    <t>See effects in chart above.</t>
  </si>
  <si>
    <t>See chart below for year-by-year profile.</t>
  </si>
  <si>
    <t>If you use the IRA itself to pay the tax, it is unlikely that the conversion would be worthwhile.</t>
  </si>
  <si>
    <t>your investments are controlled by a financial adviser.  Check your fund prospectus.</t>
  </si>
  <si>
    <t>Non Quall</t>
  </si>
  <si>
    <t>Corp Bands</t>
  </si>
  <si>
    <t>Trees Bills</t>
  </si>
  <si>
    <t>Annual spending.</t>
  </si>
  <si>
    <t>Change this amount until your savings balances</t>
  </si>
  <si>
    <t>are exhausted at an age near 100 on the chart on the</t>
  </si>
  <si>
    <t>year using the inflation rates for each year.</t>
  </si>
  <si>
    <t>right.  This is likely to be the most that you should</t>
  </si>
  <si>
    <t>consider spending from these two alternatives.  The</t>
  </si>
  <si>
    <t>alternative that provides funds the longest is likely</t>
  </si>
  <si>
    <t>to be the better choice.</t>
  </si>
  <si>
    <t>This need not correspond to your retirement age.  You may already be retired or need income earlier.</t>
  </si>
  <si>
    <t>Withdrawals from your accounts will start at this age.  The withdrawals will come preferentially from the</t>
  </si>
  <si>
    <t>non-qualified accounts except for the mandatory (traditional) IRA "required minimum distributions" starting</t>
  </si>
  <si>
    <t>* The conversion itself doesn't count as a withdrawal.</t>
  </si>
  <si>
    <t xml:space="preserve">           Might start with</t>
  </si>
  <si>
    <t>This program compares how long retirement savings will last when withdrawals are made</t>
  </si>
  <si>
    <t>from (1) a traditional IRA and (2) when converted to a Roth.  The program will allow you to</t>
  </si>
  <si>
    <t>Remember:  Converting a traditional IRA or other "qualified" account (which grows tax-</t>
  </si>
  <si>
    <t>deferred) to a Roth can be expensive:  You must pay income tax on all pretax contributions</t>
  </si>
  <si>
    <t>and earnings included in the amount to be converted.  What's more, converting almost</t>
  </si>
  <si>
    <r>
      <t xml:space="preserve">always makes sense only if an investor can pay the tax from funds </t>
    </r>
    <r>
      <rPr>
        <i/>
        <sz val="11"/>
        <color indexed="8"/>
        <rFont val="Calibri"/>
        <family val="2"/>
      </rPr>
      <t>outside</t>
    </r>
    <r>
      <rPr>
        <sz val="11"/>
        <color theme="1"/>
        <rFont val="Calibri"/>
        <family val="2"/>
      </rPr>
      <t xml:space="preserve"> the IRA itself --</t>
    </r>
  </si>
  <si>
    <t>for instance, from a "non-qualified" account (such as a taxable brokerage or mutual fund).</t>
  </si>
  <si>
    <t>the purpose of the conversion:  to maximize the long-term value of the Roth.</t>
  </si>
  <si>
    <t>Given that you have enough money in a non-qualified account to pay the taxes, a</t>
  </si>
  <si>
    <t>conversion usually makes sense if your tax rates will be higher after the conversion.</t>
  </si>
  <si>
    <t>You can find this out in the simulations below.</t>
  </si>
  <si>
    <t>That said, a Roth IRA has several important advantages:  withdrawals and growth are tax</t>
  </si>
  <si>
    <t>free; withdrawals can be made in any amount in any year (except the first five years after</t>
  </si>
  <si>
    <t>conversion); and heirs don't owe income tax on withdrawals.  Conversely, after age 70 1/2,</t>
  </si>
  <si>
    <t>a traditional IRA has to start mandatory "required minimum distributions" per a specified</t>
  </si>
  <si>
    <t>IRS formula.  This program calculates that amount automatically and deposits the after-tax</t>
  </si>
  <si>
    <t>amount to the non-qualified account-- just as you would in real life.  If funds are needed</t>
  </si>
  <si>
    <t>in excess of the required minimum distributions, it will draw those as well.</t>
  </si>
  <si>
    <t>Finally, this program assumes that you will, in fact, withdraw funds from a non-qualified</t>
  </si>
  <si>
    <t>account to pay taxes due on a conversion.  As such, this program will ask you to include</t>
  </si>
  <si>
    <t>the size of your non-qualified account -- and will calculate how a converted IRA (one that's</t>
  </si>
  <si>
    <t>coupled with a non-qualified account from which tax funds have been withdrawn) measures</t>
  </si>
  <si>
    <t>up against an unconverted IRA (one that's coupled with a non-qualified account where no</t>
  </si>
  <si>
    <t>tax funds have been withdrawn).</t>
  </si>
  <si>
    <t>You should enter the amount of your IRA that you plan to convert, not necessarily the whole</t>
  </si>
  <si>
    <t>of it.  You may not have enough non-qualified funds to support doing it all at once, or you</t>
  </si>
  <si>
    <t>may want to compromise and still keep part of your IRA.  If your investments are large enough</t>
  </si>
  <si>
    <t>to qualify for estate taxes on death, you may want to consult an estate planner about what</t>
  </si>
  <si>
    <t>might be best for you if it looks like the conversion is worthwhile using this program.</t>
  </si>
  <si>
    <t>On the other hand, if your non-qualified account will just marginally cover the conversion tax,</t>
  </si>
  <si>
    <t>you may want to reduce the amount to be converted.  The reason is that if you are younger than</t>
  </si>
  <si>
    <t xml:space="preserve">59 1/2, or are still within the mandatory 5 year Roth dormancy, you cannot use the Roth for an </t>
  </si>
  <si>
    <t>Most likely you will select the alternative which makes your money last longer.  In order to</t>
  </si>
  <si>
    <t>make this an apples-to-apples comparison, instead of showing the actual balances we show</t>
  </si>
  <si>
    <t>You should have the following numbers in front of you -- and/or at the front of your mind --</t>
  </si>
  <si>
    <t>* The current balances in your IRA and your non-qualified account.</t>
  </si>
  <si>
    <t>* The percentage of your IRA that is fully taxable.  For most people this will be 100% --</t>
  </si>
  <si>
    <t>or close to it.  It's also conservative to simply use 100% if you don't know the value, or</t>
  </si>
  <si>
    <t>it's difficult to get that information from the firm holding your IRA.  The non-taxable</t>
  </si>
  <si>
    <t>amount is the sum of any after-tax contributions, so the percentage of after-tax</t>
  </si>
  <si>
    <t>that is full taxable is 100% minus the taxable percentage.</t>
  </si>
  <si>
    <t>The initial amounts for the IRA and non-qualified accounts will be the same in both cases.</t>
  </si>
  <si>
    <t>So also will be the after-tax withdrawals.  We call the after-tax withdrawals "spending"</t>
  </si>
  <si>
    <t>below because we assume you will consume and not reinvest the after-tax withdrawals.</t>
  </si>
  <si>
    <t>The thinking: If you need to tap your IRA for  the tax money, you're defeating, in part,</t>
  </si>
  <si>
    <t>before you begin (if only to  help avoid starts and stops):</t>
  </si>
  <si>
    <t>contributions is that sum divided by the total value of the IRA.  The percentage</t>
  </si>
  <si>
    <t>different scenarios of year-by-year actual returns and inflation for a balanced portfolio of</t>
  </si>
  <si>
    <t>They do add perspective for those who include significant stock holdings in their accounts.</t>
  </si>
  <si>
    <t>If you look at the bottom of your screen, you will see three tabs.  The one you are on is for the</t>
  </si>
  <si>
    <t>free program.</t>
  </si>
  <si>
    <t>You may be able to roll over an employer savings plan into an IRA or even convert an</t>
  </si>
  <si>
    <t>employer's savings plan directly into a Roth.  So, although we use the IRA designation,</t>
  </si>
  <si>
    <t>The program automatically inflates spending each</t>
  </si>
  <si>
    <t>Tests to see if you may have violated one of the age related rules:</t>
  </si>
  <si>
    <t>change several factors -- the size of your savings accounts, how much money you plan to</t>
  </si>
  <si>
    <t>withdraw from savings in retirement,  the point in time when you plan to tap your</t>
  </si>
  <si>
    <t>account, and other variables -- to evaluate whether a conversion is worth the time and</t>
  </si>
  <si>
    <t>money.</t>
  </si>
  <si>
    <t>in such cases you can substitute the amount of your employer's plan as if it were an IRA.</t>
  </si>
  <si>
    <t>emergency or planned large expense without a likely penalty.</t>
  </si>
  <si>
    <t>You should note that this is not a complete planning program.  It is a very good tool to help</t>
  </si>
  <si>
    <t>determine if your should convert to a Roth.  For a complete planning program including pensions,</t>
  </si>
  <si>
    <t>Social Security, unusual sources of income or expenses, etc., see www.analyzenow.com.</t>
  </si>
  <si>
    <r>
      <t xml:space="preserve">I appreciate the contributions from Glenn Ruffenach and Kelly Greene from </t>
    </r>
    <r>
      <rPr>
        <i/>
        <sz val="11"/>
        <color indexed="8"/>
        <rFont val="Calibri"/>
        <family val="2"/>
      </rPr>
      <t>The Wall Street Journal</t>
    </r>
  </si>
  <si>
    <t>Your age now.  We assume this is also the year you want to make the conversion.</t>
  </si>
  <si>
    <t>be higher than the taxes needed for conversion, i.e., taxable part of IRA x tax rate, which is $</t>
  </si>
  <si>
    <t>using your IRA and tax entries above.  Additionally it should also be large enough for an emergency reserve</t>
  </si>
  <si>
    <t>or any planned large expenses.</t>
  </si>
  <si>
    <t>You might start with a value of</t>
  </si>
  <si>
    <t>instead of showing the actual balances we show</t>
  </si>
  <si>
    <t>To make this an apples-to-apples comparison,</t>
  </si>
  <si>
    <t>compare to the value in a Roth or non-qualified account which have no deferred tax obligations.</t>
  </si>
  <si>
    <t>the after-tax value of the accounts because the before-tax value of an IRA would not fairly</t>
  </si>
  <si>
    <t>the after-tax value of the accounts because the</t>
  </si>
  <si>
    <t>account which have no deferred tax obligations.</t>
  </si>
  <si>
    <t>before-tax value of an IRA would not fairly</t>
  </si>
  <si>
    <t>compare to the value in a Roth or non-qualified</t>
  </si>
  <si>
    <t>Select the percentage of stock (including stock funds) in your portfolio.  (Between 20% and 70%)</t>
  </si>
  <si>
    <t>Choose the scenario you want:</t>
  </si>
  <si>
    <t>40% bond</t>
  </si>
  <si>
    <t>50% stokes</t>
  </si>
  <si>
    <t>Using historical market returns:</t>
  </si>
  <si>
    <t>two very different scenarios:  your own, one starting in 1948 and another starting in 1965.</t>
  </si>
  <si>
    <t>Stocks</t>
  </si>
  <si>
    <t>Money Markets</t>
  </si>
  <si>
    <t>Bonds</t>
  </si>
  <si>
    <t>Allocations:</t>
  </si>
  <si>
    <t>Security proxies: S&amp;P 500 stocks, AAA Corporate bonds and short-term US Treasury bills</t>
  </si>
  <si>
    <t>from the past with their actual inflation and returns for balanced portfolios of stocks,</t>
  </si>
  <si>
    <t>bonds and money markets.  The scenario starting in 1948 represents one of the best years</t>
  </si>
  <si>
    <t>for starting retirement because it was followed by low inflation and relatively high</t>
  </si>
  <si>
    <t>be higher than taxes needed for conversion, i.e., [Taxable part of IRA] x [Tax Rate] which is $</t>
  </si>
  <si>
    <t>stocks, bonds and money markets using a stock allocation of your choosing.  These</t>
  </si>
  <si>
    <t>scenarios rely on market indexes which require a license and therefore a nominal charge.</t>
  </si>
  <si>
    <t>from 2nd year till 5th year, or when you start withdrawals, whichever is later.</t>
  </si>
  <si>
    <t>in 6th year and on</t>
  </si>
  <si>
    <t>You can make the conversion at almost any age.  Your Roth provider will tell you if not.</t>
  </si>
  <si>
    <t>scenarios in a canned case where everything else is fixed.  We suggest that you do this to see</t>
  </si>
  <si>
    <t>However, those who are young will probably do better than those who are very old if,</t>
  </si>
  <si>
    <t>Therefore, the two cases start with the same investments and we spend the same amount</t>
  </si>
  <si>
    <t>If you make the conversion and feel you have made a mistake, you may be able to reverse the</t>
  </si>
  <si>
    <t>If you are going to spread the conversion taxes over two years, enter the tax bracket in the</t>
  </si>
  <si>
    <t xml:space="preserve">Tax rate = if(or(age &lt; age to start, age &lt; age now + 5, $b$36, long=term tax rate) </t>
  </si>
  <si>
    <t>This addition offers the perspective from real historical returns and inflation in stead of</t>
  </si>
  <si>
    <t>growing exponentially.  If so, you might want to enter a fraction of a percent such as 0.5%.</t>
  </si>
  <si>
    <t>because inflation will be degrading the real income value every year.  Otherwise enter 0%.</t>
  </si>
  <si>
    <t>Others that are almost completely dependent on fixed income might do something like -1.0%</t>
  </si>
  <si>
    <t>Annual tax rate escalation.   Higher income people might expect to see some tax rate creep</t>
  </si>
  <si>
    <t>upwards as the government tries to cover the large unfunded entitlements that are</t>
  </si>
  <si>
    <t>* Your age when you may make the conversion.  (This normally is your age now, but</t>
  </si>
  <si>
    <t>you can use another age if you estimate what your savings will be in that year.  The</t>
  </si>
  <si>
    <t>program will let you do it at your current age or even up to your 90s.)  Keep in mind</t>
  </si>
  <si>
    <t>years after the conversion, but this is unlikely to be a problem if you are already past</t>
  </si>
  <si>
    <t>age 59 1/2 or have non-qualified funds that can both cover the conversion tax and</t>
  </si>
  <si>
    <t>* You can also select the age to start spending from the combination of your non-</t>
  </si>
  <si>
    <t>qualified accounts and either the IRA or Roth.  If you had to draw from an IRA or Roth</t>
  </si>
  <si>
    <t>before age 59 1/2, there are some special ways to do that, but the rules are quite</t>
  </si>
  <si>
    <t>Note:  The program wil warn you if it your non-qualified funds are exhausted either</t>
  </si>
  <si>
    <t>technical, so we suggest you see an accountant or financial adviser to develop your</t>
  </si>
  <si>
    <t>you cannot draw from a Roth within 5 years of conversion or age 59 1/2, whichever is later (also with some</t>
  </si>
  <si>
    <t xml:space="preserve">five years without tapping the Roth.   </t>
  </si>
  <si>
    <t>plan.  Take along a copy of your results from this program.  This program uses an</t>
  </si>
  <si>
    <t>to check with a financial adviser.</t>
  </si>
  <si>
    <t>approximation that would likely satisfy this requirement, but it offers caution to</t>
  </si>
  <si>
    <t>The same rules apply to someone who converts to a Roth at, say, 58 and then withdraws after 59½.</t>
  </si>
  <si>
    <t>As for withdrawing earnings on the contributions, there is a five-year holding period under age 59 ½.</t>
  </si>
  <si>
    <t>of a converted amount at any time. So if you convert $100,000 at age 60, and withdraw $20,000 at age 61,</t>
  </si>
  <si>
    <t xml:space="preserve">you will not pay income tax or the 10% penalty on the withdrawal.  </t>
  </si>
  <si>
    <t>If the $100,000 has $10,000 in earnings and you want to withdraw $110,000 at 61, you pay income tax on</t>
  </si>
  <si>
    <t>on the earnings. (Of course, if you want to do this, you should not be converting in the first place.)</t>
  </si>
  <si>
    <t>But you will not pay a penalty. After you have held the Roth for five years—or any other Roth for five</t>
  </si>
  <si>
    <t xml:space="preserve">years--you will not pay tax on any withdrawal of earnings. </t>
  </si>
  <si>
    <r>
      <rPr>
        <b/>
        <sz val="11"/>
        <color indexed="8"/>
        <rFont val="Calibri"/>
        <family val="2"/>
      </rPr>
      <t>If you are older than 59 ½</t>
    </r>
    <r>
      <rPr>
        <sz val="11"/>
        <color theme="1"/>
        <rFont val="Calibri"/>
        <family val="2"/>
      </rPr>
      <t>, you can convert to a Roth and never pay a tax or penalty on a withdrawal</t>
    </r>
  </si>
  <si>
    <r>
      <rPr>
        <b/>
        <sz val="11"/>
        <color indexed="8"/>
        <rFont val="Calibri"/>
        <family val="2"/>
      </rPr>
      <t>Once you are 59 1/2</t>
    </r>
    <r>
      <rPr>
        <sz val="11"/>
        <color theme="1"/>
        <rFont val="Calibri"/>
        <family val="2"/>
      </rPr>
      <t>, you will not pay a penalty for any reason.</t>
    </r>
  </si>
  <si>
    <t>In addition, let’s say if you convert a $100,000 IRA to a Roth at age 60 and it grows by $10,000. If you</t>
  </si>
  <si>
    <t>withdraw $20,000 at 61, you will not pay tax because the withdrawals are not considered earnings</t>
  </si>
  <si>
    <t>until you reach the earnings amount.</t>
  </si>
  <si>
    <t>That means you will pay a 10% penalty on withdrawals of converted amounts and tax and penalty for</t>
  </si>
  <si>
    <t xml:space="preserve">until you reach 59 ½. </t>
  </si>
  <si>
    <r>
      <rPr>
        <b/>
        <sz val="11"/>
        <color indexed="8"/>
        <rFont val="Calibri"/>
        <family val="2"/>
      </rPr>
      <t>If you are under 59 1/2</t>
    </r>
    <r>
      <rPr>
        <sz val="11"/>
        <color theme="1"/>
        <rFont val="Calibri"/>
        <family val="2"/>
      </rPr>
      <t>, the five-year rule applies on withdrawing converted amounts and earnings.</t>
    </r>
  </si>
  <si>
    <t>So if you are 50 and convert $100,000, you will pay a penalty on withdrawals of any converted amount</t>
  </si>
  <si>
    <t>unless you hold the Roth for five years. You will pay tax and penalty on any withdrawal of earnings</t>
  </si>
  <si>
    <t xml:space="preserve">have to wait until age 59 ½ to tap the earnings penalty-free. </t>
  </si>
  <si>
    <t>withdrawal of earnings. If you are under 59 1/2, each conversion starts a new five-year holding period</t>
  </si>
  <si>
    <t>before 59 1/2 . Once the five years are over, you can tap converted amount without a penalty.  But you</t>
  </si>
  <si>
    <t>You can withdraw contributed [as opposed to converted] funds at any time.</t>
  </si>
  <si>
    <t>This program does not account for penalties or taxes on premature Roth withdrawals, but the</t>
  </si>
  <si>
    <t>notes below from Susan Garland, editor of Kiplinger's Retirement Report, and edited by Ed Slott</t>
  </si>
  <si>
    <t>Roth Penalties and Taxes:</t>
  </si>
  <si>
    <t>clarify what these would be:</t>
  </si>
  <si>
    <t>exceptions--see notes at end of Introduction tab).  You always can start spending in less than five years if your</t>
  </si>
  <si>
    <t>you have passed 59 1/2 and the 5 year limit.  We'll warn you below if this may be a problem.</t>
  </si>
  <si>
    <t>non-qualified accoiunt is large enough to both pay the tax on conversion as well as to support spending until</t>
  </si>
  <si>
    <r>
      <rPr>
        <sz val="11"/>
        <color theme="1"/>
        <rFont val="Calibri"/>
        <family val="2"/>
      </rPr>
      <t xml:space="preserve">at 70 1/2.  </t>
    </r>
    <r>
      <rPr>
        <sz val="11"/>
        <color indexed="10"/>
        <rFont val="Calibri"/>
        <family val="2"/>
      </rPr>
      <t>You cannot make withdrawals from an IRA* before age 59 1/2 (except in special circumstances), and</t>
    </r>
  </si>
  <si>
    <t>before you reach 59 1/2 or before five years after the conversion.  For  more on this,</t>
  </si>
  <si>
    <t xml:space="preserve">see Roth Penalty and Taxes notes below and www.IRA.gov or your IRA/Roth firm. </t>
  </si>
  <si>
    <t>who offered much help and perspective as well as the assistance Susan Garland, editor of</t>
  </si>
  <si>
    <r>
      <rPr>
        <i/>
        <sz val="11"/>
        <color indexed="8"/>
        <rFont val="Calibri"/>
        <family val="2"/>
      </rPr>
      <t>Kiplinger's Retirement Report</t>
    </r>
    <r>
      <rPr>
        <sz val="11"/>
        <color theme="1"/>
        <rFont val="Calibri"/>
        <family val="2"/>
      </rPr>
      <t>, and Ed Slott, author of numerous articles and books on IRAs, who</t>
    </r>
  </si>
  <si>
    <t>helped clarify the rather confusing penalty and tax rules that come with a Roth Conversion.</t>
  </si>
  <si>
    <t>Program description, assumtions an assistance:</t>
  </si>
  <si>
    <t>With gratitude:</t>
  </si>
  <si>
    <t>Change annual spending until your savings balances</t>
  </si>
  <si>
    <t>We suggest that you page down now to see the effects from real world economic changes.</t>
  </si>
  <si>
    <t>for no other reason, there is more time to grow the account unfettered by taxes.</t>
  </si>
  <si>
    <t>then get back taxes paid on conversion but not any investment gains or losses in the meantime.</t>
  </si>
  <si>
    <t>conversion (called a "re-characterization") before October 15 of the following year.  You can</t>
  </si>
  <si>
    <t>first year that corresponds to an average of what you think it would be over the two year period.</t>
  </si>
  <si>
    <t>that before 59 1/2 you will not be able to make any withdrawals from the Roth for five</t>
  </si>
  <si>
    <t>in each case.  The case in which balances that last longer is usually the better choice.</t>
  </si>
  <si>
    <t>Change log:</t>
  </si>
  <si>
    <t>2-16-10.  Increased size of columns to permit 7 figure entries and hid some of the proprietary and licensed information.</t>
  </si>
  <si>
    <t>ThanksForAddition!</t>
  </si>
  <si>
    <t>The Historical Perspective provides additional insight.  That is the option to use two</t>
  </si>
  <si>
    <t>Historical Perspective:</t>
  </si>
  <si>
    <t>There are three tabs at the bottom of the screen:  Introduction, Using your inputs, and Historical Perspective.</t>
  </si>
  <si>
    <t>9-28-15.  Eliminated the need to enter a password and changed labels on tabs.</t>
  </si>
  <si>
    <t>Another financial program from www.analyzenow.com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</si>
</sst>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3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17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rgb="FFFF0000"/>
      <name val="Arial"/>
      <family val="2"/>
    </font>
    <font>
      <sz val="11"/>
      <color rgb="FF00B050"/>
      <name val="Calibri"/>
      <family val="2"/>
    </font>
    <font>
      <sz val="8"/>
      <color rgb="FF00B050"/>
      <name val="Calibri"/>
      <family val="2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34" borderId="0" xfId="0" applyFill="1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0" fontId="51" fillId="0" borderId="0" xfId="0" applyNumberFormat="1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9" fontId="0" fillId="0" borderId="0" xfId="0" applyNumberFormat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169" fontId="0" fillId="0" borderId="0" xfId="42" applyNumberFormat="1" applyFont="1" applyAlignment="1" applyProtection="1">
      <alignment/>
      <protection hidden="1"/>
    </xf>
    <xf numFmtId="169" fontId="0" fillId="33" borderId="0" xfId="42" applyNumberFormat="1" applyFont="1" applyFill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169" fontId="0" fillId="0" borderId="0" xfId="42" applyNumberFormat="1" applyFont="1" applyFill="1" applyAlignment="1" applyProtection="1">
      <alignment/>
      <protection hidden="1"/>
    </xf>
    <xf numFmtId="0" fontId="53" fillId="0" borderId="0" xfId="0" applyFont="1" applyAlignment="1">
      <alignment horizontal="center"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35" borderId="0" xfId="0" applyFont="1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2" fontId="51" fillId="0" borderId="0" xfId="0" applyNumberFormat="1" applyFont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35" fillId="0" borderId="0" xfId="0" applyFont="1" applyAlignment="1" applyProtection="1">
      <alignment horizontal="right"/>
      <protection hidden="1"/>
    </xf>
    <xf numFmtId="0" fontId="35" fillId="0" borderId="0" xfId="0" applyFont="1" applyAlignment="1" applyProtection="1">
      <alignment/>
      <protection hidden="1"/>
    </xf>
    <xf numFmtId="169" fontId="35" fillId="0" borderId="0" xfId="0" applyNumberFormat="1" applyFont="1" applyAlignment="1" applyProtection="1">
      <alignment/>
      <protection hidden="1"/>
    </xf>
    <xf numFmtId="0" fontId="0" fillId="33" borderId="0" xfId="0" applyFill="1" applyAlignment="1">
      <alignment horizontal="left"/>
    </xf>
    <xf numFmtId="0" fontId="0" fillId="33" borderId="0" xfId="0" applyFill="1" applyAlignment="1" applyProtection="1">
      <alignment/>
      <protection hidden="1"/>
    </xf>
    <xf numFmtId="0" fontId="0" fillId="12" borderId="10" xfId="0" applyFill="1" applyBorder="1" applyAlignment="1" applyProtection="1">
      <alignment horizontal="center"/>
      <protection locked="0"/>
    </xf>
    <xf numFmtId="169" fontId="30" fillId="12" borderId="10" xfId="42" applyNumberFormat="1" applyFont="1" applyFill="1" applyBorder="1" applyAlignment="1" applyProtection="1">
      <alignment horizontal="center"/>
      <protection locked="0"/>
    </xf>
    <xf numFmtId="165" fontId="30" fillId="12" borderId="10" xfId="0" applyNumberFormat="1" applyFont="1" applyFill="1" applyBorder="1" applyAlignment="1" applyProtection="1">
      <alignment horizontal="center"/>
      <protection locked="0"/>
    </xf>
    <xf numFmtId="169" fontId="30" fillId="12" borderId="10" xfId="42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45" fillId="0" borderId="0" xfId="53" applyAlignment="1" applyProtection="1">
      <alignment/>
      <protection/>
    </xf>
    <xf numFmtId="0" fontId="30" fillId="0" borderId="0" xfId="0" applyFont="1" applyAlignment="1" applyProtection="1">
      <alignment/>
      <protection hidden="1"/>
    </xf>
    <xf numFmtId="0" fontId="30" fillId="0" borderId="0" xfId="0" applyFont="1" applyAlignment="1">
      <alignment/>
    </xf>
    <xf numFmtId="10" fontId="35" fillId="0" borderId="0" xfId="0" applyNumberFormat="1" applyFont="1" applyAlignment="1" applyProtection="1">
      <alignment/>
      <protection hidden="1"/>
    </xf>
    <xf numFmtId="37" fontId="0" fillId="33" borderId="0" xfId="44" applyNumberFormat="1" applyFont="1" applyFill="1" applyAlignment="1" applyProtection="1">
      <alignment horizontal="left"/>
      <protection hidden="1"/>
    </xf>
    <xf numFmtId="169" fontId="30" fillId="0" borderId="0" xfId="0" applyNumberFormat="1" applyFont="1" applyAlignment="1" applyProtection="1">
      <alignment/>
      <protection hidden="1"/>
    </xf>
    <xf numFmtId="10" fontId="30" fillId="0" borderId="0" xfId="0" applyNumberFormat="1" applyFon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 horizontal="center"/>
      <protection hidden="1"/>
    </xf>
    <xf numFmtId="10" fontId="31" fillId="0" borderId="0" xfId="0" applyNumberFormat="1" applyFont="1" applyAlignment="1" applyProtection="1">
      <alignment/>
      <protection hidden="1"/>
    </xf>
    <xf numFmtId="2" fontId="31" fillId="0" borderId="0" xfId="0" applyNumberFormat="1" applyFont="1" applyAlignment="1" applyProtection="1">
      <alignment/>
      <protection hidden="1"/>
    </xf>
    <xf numFmtId="164" fontId="30" fillId="0" borderId="0" xfId="0" applyNumberFormat="1" applyFont="1" applyAlignment="1" applyProtection="1">
      <alignment/>
      <protection hidden="1"/>
    </xf>
    <xf numFmtId="169" fontId="30" fillId="0" borderId="0" xfId="42" applyNumberFormat="1" applyFont="1" applyAlignment="1" applyProtection="1">
      <alignment/>
      <protection hidden="1"/>
    </xf>
    <xf numFmtId="169" fontId="30" fillId="0" borderId="0" xfId="42" applyNumberFormat="1" applyFont="1" applyFill="1" applyAlignment="1" applyProtection="1">
      <alignment/>
      <protection hidden="1"/>
    </xf>
    <xf numFmtId="169" fontId="30" fillId="33" borderId="0" xfId="42" applyNumberFormat="1" applyFont="1" applyFill="1" applyAlignment="1" applyProtection="1">
      <alignment/>
      <protection hidden="1"/>
    </xf>
    <xf numFmtId="0" fontId="30" fillId="36" borderId="0" xfId="0" applyFont="1" applyFill="1" applyAlignment="1">
      <alignment/>
    </xf>
    <xf numFmtId="0" fontId="30" fillId="36" borderId="0" xfId="0" applyFont="1" applyFill="1" applyAlignment="1" applyProtection="1">
      <alignment/>
      <protection hidden="1"/>
    </xf>
    <xf numFmtId="0" fontId="0" fillId="36" borderId="0" xfId="0" applyFill="1" applyAlignment="1">
      <alignment/>
    </xf>
    <xf numFmtId="0" fontId="30" fillId="36" borderId="0" xfId="0" applyFont="1" applyFill="1" applyAlignment="1">
      <alignment horizontal="right"/>
    </xf>
    <xf numFmtId="10" fontId="30" fillId="36" borderId="0" xfId="0" applyNumberFormat="1" applyFont="1" applyFill="1" applyAlignment="1">
      <alignment/>
    </xf>
    <xf numFmtId="0" fontId="0" fillId="0" borderId="0" xfId="0" applyAlignment="1" applyProtection="1">
      <alignment/>
      <protection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3" fontId="54" fillId="0" borderId="0" xfId="0" applyNumberFormat="1" applyFont="1" applyAlignment="1">
      <alignment/>
    </xf>
    <xf numFmtId="0" fontId="54" fillId="0" borderId="0" xfId="0" applyFont="1" applyAlignment="1">
      <alignment/>
    </xf>
    <xf numFmtId="169" fontId="54" fillId="0" borderId="0" xfId="42" applyNumberFormat="1" applyFont="1" applyAlignment="1">
      <alignment/>
    </xf>
    <xf numFmtId="165" fontId="30" fillId="0" borderId="0" xfId="59" applyNumberFormat="1" applyFont="1" applyAlignment="1">
      <alignment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165" fontId="30" fillId="36" borderId="0" xfId="59" applyNumberFormat="1" applyFont="1" applyFill="1" applyAlignment="1">
      <alignment/>
    </xf>
    <xf numFmtId="165" fontId="0" fillId="0" borderId="0" xfId="0" applyNumberFormat="1" applyAlignment="1">
      <alignment/>
    </xf>
    <xf numFmtId="165" fontId="54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51" fillId="0" borderId="0" xfId="0" applyFont="1" applyAlignment="1">
      <alignment/>
    </xf>
    <xf numFmtId="165" fontId="31" fillId="0" borderId="0" xfId="0" applyNumberFormat="1" applyFont="1" applyAlignment="1" applyProtection="1">
      <alignment/>
      <protection hidden="1"/>
    </xf>
    <xf numFmtId="0" fontId="0" fillId="12" borderId="10" xfId="0" applyFill="1" applyBorder="1" applyAlignment="1" applyProtection="1">
      <alignment/>
      <protection locked="0"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38" fontId="0" fillId="0" borderId="0" xfId="0" applyNumberFormat="1" applyAlignment="1" applyProtection="1">
      <alignment horizontal="left"/>
      <protection hidden="1"/>
    </xf>
    <xf numFmtId="165" fontId="30" fillId="36" borderId="0" xfId="0" applyNumberFormat="1" applyFont="1" applyFill="1" applyAlignment="1">
      <alignment/>
    </xf>
    <xf numFmtId="0" fontId="52" fillId="0" borderId="0" xfId="0" applyFont="1" applyFill="1" applyBorder="1" applyAlignment="1">
      <alignment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69" fontId="30" fillId="0" borderId="10" xfId="42" applyNumberFormat="1" applyFont="1" applyFill="1" applyBorder="1" applyAlignment="1" applyProtection="1">
      <alignment horizontal="center"/>
      <protection hidden="1"/>
    </xf>
    <xf numFmtId="165" fontId="30" fillId="0" borderId="1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hidden="1"/>
    </xf>
    <xf numFmtId="169" fontId="30" fillId="0" borderId="10" xfId="42" applyNumberFormat="1" applyFont="1" applyFill="1" applyBorder="1" applyAlignment="1" applyProtection="1">
      <alignment/>
      <protection hidden="1"/>
    </xf>
    <xf numFmtId="0" fontId="51" fillId="0" borderId="0" xfId="0" applyFont="1" applyAlignment="1">
      <alignment horizontal="left"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 horizontal="center"/>
      <protection locked="0"/>
    </xf>
    <xf numFmtId="0" fontId="55" fillId="38" borderId="10" xfId="0" applyFont="1" applyFill="1" applyBorder="1" applyAlignment="1" applyProtection="1">
      <alignment/>
      <protection hidden="1"/>
    </xf>
    <xf numFmtId="0" fontId="55" fillId="0" borderId="0" xfId="0" applyFont="1" applyAlignment="1">
      <alignment/>
    </xf>
    <xf numFmtId="169" fontId="56" fillId="38" borderId="10" xfId="42" applyNumberFormat="1" applyFont="1" applyFill="1" applyBorder="1" applyAlignment="1" applyProtection="1">
      <alignment/>
      <protection hidden="1"/>
    </xf>
    <xf numFmtId="0" fontId="30" fillId="0" borderId="0" xfId="0" applyFont="1" applyAlignment="1">
      <alignment horizontal="left"/>
    </xf>
    <xf numFmtId="0" fontId="5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6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165" fontId="30" fillId="12" borderId="21" xfId="0" applyNumberFormat="1" applyFont="1" applyFill="1" applyBorder="1" applyAlignment="1" applyProtection="1">
      <alignment horizontal="center"/>
      <protection locked="0"/>
    </xf>
    <xf numFmtId="165" fontId="0" fillId="33" borderId="0" xfId="0" applyNumberFormat="1" applyFill="1" applyAlignment="1">
      <alignment/>
    </xf>
    <xf numFmtId="165" fontId="0" fillId="33" borderId="0" xfId="0" applyNumberFormat="1" applyFill="1" applyBorder="1" applyAlignment="1">
      <alignment/>
    </xf>
    <xf numFmtId="9" fontId="0" fillId="33" borderId="0" xfId="0" applyNumberFormat="1" applyFill="1" applyBorder="1" applyAlignment="1">
      <alignment/>
    </xf>
    <xf numFmtId="0" fontId="51" fillId="33" borderId="16" xfId="0" applyFont="1" applyFill="1" applyBorder="1" applyAlignment="1">
      <alignment horizontal="left"/>
    </xf>
    <xf numFmtId="0" fontId="57" fillId="0" borderId="0" xfId="0" applyFont="1" applyAlignment="1">
      <alignment/>
    </xf>
    <xf numFmtId="9" fontId="0" fillId="0" borderId="0" xfId="0" applyNumberFormat="1" applyAlignment="1">
      <alignment/>
    </xf>
    <xf numFmtId="10" fontId="30" fillId="12" borderId="10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left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left"/>
    </xf>
    <xf numFmtId="0" fontId="0" fillId="0" borderId="0" xfId="0" applyNumberFormat="1" applyAlignment="1">
      <alignment/>
    </xf>
    <xf numFmtId="0" fontId="31" fillId="0" borderId="0" xfId="0" applyFont="1" applyAlignment="1">
      <alignment/>
    </xf>
    <xf numFmtId="0" fontId="35" fillId="0" borderId="0" xfId="0" applyFont="1" applyFill="1" applyAlignment="1" applyProtection="1">
      <alignment horizontal="right"/>
      <protection hidden="1"/>
    </xf>
    <xf numFmtId="0" fontId="35" fillId="0" borderId="0" xfId="0" applyFont="1" applyFill="1" applyAlignment="1" applyProtection="1">
      <alignment/>
      <protection hidden="1"/>
    </xf>
    <xf numFmtId="169" fontId="35" fillId="0" borderId="0" xfId="0" applyNumberFormat="1" applyFont="1" applyFill="1" applyAlignment="1" applyProtection="1">
      <alignment/>
      <protection hidden="1"/>
    </xf>
    <xf numFmtId="10" fontId="35" fillId="0" borderId="0" xfId="0" applyNumberFormat="1" applyFont="1" applyFill="1" applyAlignment="1" applyProtection="1">
      <alignment/>
      <protection hidden="1"/>
    </xf>
    <xf numFmtId="0" fontId="30" fillId="33" borderId="0" xfId="0" applyFont="1" applyFill="1" applyAlignment="1">
      <alignment horizontal="left"/>
    </xf>
    <xf numFmtId="1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After-Tax Savings Balances</a:t>
            </a:r>
          </a:p>
        </c:rich>
      </c:tx>
      <c:layout>
        <c:manualLayout>
          <c:xMode val="factor"/>
          <c:yMode val="factor"/>
          <c:x val="-0.00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0.11675"/>
          <c:w val="0.97625"/>
          <c:h val="0.79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'Using your inputs'!$C$130</c:f>
              <c:strCache>
                <c:ptCount val="1"/>
                <c:pt idx="0">
                  <c:v>Convert to Roth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'Using your inputs'!$B$131:$B$197</c:f>
              <c:numCache/>
            </c:numRef>
          </c:xVal>
          <c:yVal>
            <c:numRef>
              <c:f>'Using your inputs'!$C$131:$C$197</c:f>
              <c:numCache/>
            </c:numRef>
          </c:yVal>
          <c:smooth val="1"/>
        </c:ser>
        <c:ser>
          <c:idx val="1"/>
          <c:order val="1"/>
          <c:tx>
            <c:strRef>
              <c:f>'Using your inputs'!$D$130</c:f>
              <c:strCache>
                <c:ptCount val="1"/>
                <c:pt idx="0">
                  <c:v>No conversion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'Using your inputs'!$B$131:$B$197</c:f>
              <c:numCache/>
            </c:numRef>
          </c:xVal>
          <c:yVal>
            <c:numRef>
              <c:f>'Using your inputs'!$D$131:$D$197</c:f>
              <c:numCache/>
            </c:numRef>
          </c:yVal>
          <c:smooth val="1"/>
        </c:ser>
        <c:axId val="17556803"/>
        <c:axId val="23793500"/>
      </c:scatterChart>
      <c:valAx>
        <c:axId val="17556803"/>
        <c:scaling>
          <c:orientation val="minMax"/>
          <c:max val="100"/>
          <c:min val="4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93500"/>
        <c:crosses val="autoZero"/>
        <c:crossBetween val="midCat"/>
        <c:dispUnits/>
      </c:valAx>
      <c:valAx>
        <c:axId val="2379350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5680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55"/>
          <c:y val="0.921"/>
          <c:w val="0.644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Tax rates, returns &amp; inflation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43"/>
          <c:w val="0.9705"/>
          <c:h val="0.75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'Using your inputs'!$M$130</c:f>
              <c:strCache>
                <c:ptCount val="1"/>
                <c:pt idx="0">
                  <c:v>Tax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'Using your inputs'!$L$131:$L$197</c:f>
              <c:numCache/>
            </c:numRef>
          </c:xVal>
          <c:yVal>
            <c:numRef>
              <c:f>'Using your inputs'!$M$131:$M$197</c:f>
              <c:numCache/>
            </c:numRef>
          </c:yVal>
          <c:smooth val="0"/>
        </c:ser>
        <c:ser>
          <c:idx val="1"/>
          <c:order val="1"/>
          <c:tx>
            <c:strRef>
              <c:f>'Using your inputs'!$N$130</c:f>
              <c:strCache>
                <c:ptCount val="1"/>
                <c:pt idx="0">
                  <c:v>Returns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'Using your inputs'!$L$131:$L$197</c:f>
              <c:numCache/>
            </c:numRef>
          </c:xVal>
          <c:yVal>
            <c:numRef>
              <c:f>'Using your inputs'!$N$131:$N$197</c:f>
              <c:numCache/>
            </c:numRef>
          </c:yVal>
          <c:smooth val="0"/>
        </c:ser>
        <c:ser>
          <c:idx val="2"/>
          <c:order val="2"/>
          <c:tx>
            <c:strRef>
              <c:f>'Using your inputs'!$O$130</c:f>
              <c:strCache>
                <c:ptCount val="1"/>
                <c:pt idx="0">
                  <c:v>Inflation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'Using your inputs'!$L$131:$L$197</c:f>
              <c:numCache/>
            </c:numRef>
          </c:xVal>
          <c:yVal>
            <c:numRef>
              <c:f>'Using your inputs'!$O$131:$O$197</c:f>
              <c:numCache/>
            </c:numRef>
          </c:yVal>
          <c:smooth val="0"/>
        </c:ser>
        <c:axId val="12814909"/>
        <c:axId val="48225318"/>
      </c:scatterChart>
      <c:valAx>
        <c:axId val="12814909"/>
        <c:scaling>
          <c:orientation val="minMax"/>
          <c:max val="100"/>
          <c:min val="4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25318"/>
        <c:crosses val="autoZero"/>
        <c:crossBetween val="midCat"/>
        <c:dispUnits/>
      </c:valAx>
      <c:valAx>
        <c:axId val="4822531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149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475"/>
          <c:y val="0.90325"/>
          <c:w val="0.623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Tax rates, returns &amp; inflation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43"/>
          <c:w val="0.9685"/>
          <c:h val="0.747"/>
        </c:manualLayout>
      </c:layout>
      <c:scatterChart>
        <c:scatterStyle val="lineMarker"/>
        <c:varyColors val="0"/>
        <c:ser>
          <c:idx val="0"/>
          <c:order val="0"/>
          <c:tx>
            <c:strRef>
              <c:f>'Historical Perspective'!$N$174</c:f>
              <c:strCache>
                <c:ptCount val="1"/>
                <c:pt idx="0">
                  <c:v>Tax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'Historical Perspective'!$M$175:$M$241</c:f>
              <c:numCache/>
            </c:numRef>
          </c:xVal>
          <c:yVal>
            <c:numRef>
              <c:f>'Historical Perspective'!$N$175:$N$241</c:f>
              <c:numCache/>
            </c:numRef>
          </c:yVal>
          <c:smooth val="0"/>
        </c:ser>
        <c:ser>
          <c:idx val="1"/>
          <c:order val="1"/>
          <c:tx>
            <c:strRef>
              <c:f>'Historical Perspective'!$O$174</c:f>
              <c:strCache>
                <c:ptCount val="1"/>
                <c:pt idx="0">
                  <c:v>Returns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'Historical Perspective'!$M$175:$M$241</c:f>
              <c:numCache/>
            </c:numRef>
          </c:xVal>
          <c:yVal>
            <c:numRef>
              <c:f>'Historical Perspective'!$O$175:$O$241</c:f>
              <c:numCache/>
            </c:numRef>
          </c:yVal>
          <c:smooth val="0"/>
        </c:ser>
        <c:ser>
          <c:idx val="2"/>
          <c:order val="2"/>
          <c:tx>
            <c:strRef>
              <c:f>'Historical Perspective'!$P$174</c:f>
              <c:strCache>
                <c:ptCount val="1"/>
                <c:pt idx="0">
                  <c:v>Inflation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'Historical Perspective'!$M$175:$M$241</c:f>
              <c:numCache/>
            </c:numRef>
          </c:xVal>
          <c:yVal>
            <c:numRef>
              <c:f>'Historical Perspective'!$P$175:$P$241</c:f>
              <c:numCache/>
            </c:numRef>
          </c:yVal>
          <c:smooth val="0"/>
        </c:ser>
        <c:axId val="31374679"/>
        <c:axId val="13936656"/>
      </c:scatterChart>
      <c:valAx>
        <c:axId val="31374679"/>
        <c:scaling>
          <c:orientation val="minMax"/>
          <c:max val="100"/>
          <c:min val="4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36656"/>
        <c:crosses val="autoZero"/>
        <c:crossBetween val="midCat"/>
        <c:dispUnits/>
      </c:valAx>
      <c:valAx>
        <c:axId val="139366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746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075"/>
          <c:y val="0.90325"/>
          <c:w val="0.671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After-Tax Savings Balances</a:t>
            </a:r>
          </a:p>
        </c:rich>
      </c:tx>
      <c:layout>
        <c:manualLayout>
          <c:xMode val="factor"/>
          <c:yMode val="factor"/>
          <c:x val="-0.005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0.11775"/>
          <c:w val="0.975"/>
          <c:h val="0.7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'Historical Perspective'!$D$174</c:f>
              <c:strCache>
                <c:ptCount val="1"/>
                <c:pt idx="0">
                  <c:v>Convert to Roth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'Historical Perspective'!$C$175:$C$241</c:f>
              <c:numCache/>
            </c:numRef>
          </c:xVal>
          <c:yVal>
            <c:numRef>
              <c:f>'Historical Perspective'!$D$175:$D$241</c:f>
              <c:numCache/>
            </c:numRef>
          </c:yVal>
          <c:smooth val="0"/>
        </c:ser>
        <c:ser>
          <c:idx val="1"/>
          <c:order val="1"/>
          <c:tx>
            <c:strRef>
              <c:f>'Historical Perspective'!$E$174</c:f>
              <c:strCache>
                <c:ptCount val="1"/>
                <c:pt idx="0">
                  <c:v>No conversion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'Historical Perspective'!$C$175:$C$241</c:f>
              <c:numCache/>
            </c:numRef>
          </c:xVal>
          <c:yVal>
            <c:numRef>
              <c:f>'Historical Perspective'!$E$175:$E$241</c:f>
              <c:numCache/>
            </c:numRef>
          </c:yVal>
          <c:smooth val="0"/>
        </c:ser>
        <c:axId val="58321041"/>
        <c:axId val="55127322"/>
      </c:scatterChart>
      <c:valAx>
        <c:axId val="58321041"/>
        <c:scaling>
          <c:orientation val="minMax"/>
          <c:max val="100"/>
          <c:min val="4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27322"/>
        <c:crosses val="autoZero"/>
        <c:crossBetween val="midCat"/>
        <c:dispUnits/>
      </c:valAx>
      <c:valAx>
        <c:axId val="5512732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210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25"/>
          <c:y val="0.92025"/>
          <c:w val="0.6872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77</xdr:row>
      <xdr:rowOff>47625</xdr:rowOff>
    </xdr:from>
    <xdr:to>
      <xdr:col>11</xdr:col>
      <xdr:colOff>190500</xdr:colOff>
      <xdr:row>94</xdr:row>
      <xdr:rowOff>152400</xdr:rowOff>
    </xdr:to>
    <xdr:graphicFrame>
      <xdr:nvGraphicFramePr>
        <xdr:cNvPr id="1" name="Chart 1"/>
        <xdr:cNvGraphicFramePr/>
      </xdr:nvGraphicFramePr>
      <xdr:xfrm>
        <a:off x="3581400" y="14763750"/>
        <a:ext cx="38862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161925</xdr:colOff>
      <xdr:row>55</xdr:row>
      <xdr:rowOff>152400</xdr:rowOff>
    </xdr:from>
    <xdr:to>
      <xdr:col>11</xdr:col>
      <xdr:colOff>19050</xdr:colOff>
      <xdr:row>70</xdr:row>
      <xdr:rowOff>38100</xdr:rowOff>
    </xdr:to>
    <xdr:graphicFrame>
      <xdr:nvGraphicFramePr>
        <xdr:cNvPr id="2" name="Chart 4"/>
        <xdr:cNvGraphicFramePr/>
      </xdr:nvGraphicFramePr>
      <xdr:xfrm>
        <a:off x="3190875" y="10677525"/>
        <a:ext cx="41052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80</xdr:row>
      <xdr:rowOff>161925</xdr:rowOff>
    </xdr:from>
    <xdr:to>
      <xdr:col>10</xdr:col>
      <xdr:colOff>38100</xdr:colOff>
      <xdr:row>95</xdr:row>
      <xdr:rowOff>47625</xdr:rowOff>
    </xdr:to>
    <xdr:graphicFrame>
      <xdr:nvGraphicFramePr>
        <xdr:cNvPr id="1" name="Chart 5"/>
        <xdr:cNvGraphicFramePr/>
      </xdr:nvGraphicFramePr>
      <xdr:xfrm>
        <a:off x="2876550" y="13163550"/>
        <a:ext cx="3819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361950</xdr:colOff>
      <xdr:row>121</xdr:row>
      <xdr:rowOff>57150</xdr:rowOff>
    </xdr:from>
    <xdr:to>
      <xdr:col>10</xdr:col>
      <xdr:colOff>304800</xdr:colOff>
      <xdr:row>138</xdr:row>
      <xdr:rowOff>133350</xdr:rowOff>
    </xdr:to>
    <xdr:graphicFrame>
      <xdr:nvGraphicFramePr>
        <xdr:cNvPr id="2" name="Chart 6"/>
        <xdr:cNvGraphicFramePr/>
      </xdr:nvGraphicFramePr>
      <xdr:xfrm>
        <a:off x="3314700" y="20888325"/>
        <a:ext cx="364807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nalyzenow.com.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nalyzenow.com.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showGridLines="0" showRowColHeaders="0" tabSelected="1" zoomScalePageLayoutView="0" workbookViewId="0" topLeftCell="A1">
      <selection activeCell="A2" sqref="A2"/>
    </sheetView>
  </sheetViews>
  <sheetFormatPr defaultColWidth="9.140625" defaultRowHeight="15"/>
  <cols>
    <col min="1" max="1" width="9.7109375" style="0" bestFit="1" customWidth="1"/>
  </cols>
  <sheetData>
    <row r="1" ht="15">
      <c r="A1" s="118">
        <v>42275</v>
      </c>
    </row>
    <row r="2" ht="18.75">
      <c r="E2" s="16" t="s">
        <v>7</v>
      </c>
    </row>
    <row r="3" ht="15">
      <c r="E3" s="2" t="s">
        <v>295</v>
      </c>
    </row>
    <row r="4" spans="2:5" ht="15">
      <c r="B4" s="4"/>
      <c r="E4" s="2" t="s">
        <v>8</v>
      </c>
    </row>
    <row r="5" ht="15">
      <c r="B5" s="4"/>
    </row>
    <row r="6" ht="15">
      <c r="B6" s="82" t="s">
        <v>279</v>
      </c>
    </row>
    <row r="7" ht="15">
      <c r="B7" s="4"/>
    </row>
    <row r="8" ht="15">
      <c r="B8" t="s">
        <v>182</v>
      </c>
    </row>
    <row r="9" ht="15">
      <c r="B9" t="s">
        <v>275</v>
      </c>
    </row>
    <row r="10" ht="15">
      <c r="B10" t="s">
        <v>276</v>
      </c>
    </row>
    <row r="11" ht="15">
      <c r="B11" t="s">
        <v>277</v>
      </c>
    </row>
    <row r="13" ht="15">
      <c r="B13" s="68" t="s">
        <v>278</v>
      </c>
    </row>
    <row r="14" ht="15">
      <c r="B14" s="4"/>
    </row>
    <row r="15" ht="15">
      <c r="B15" s="4" t="s">
        <v>118</v>
      </c>
    </row>
    <row r="16" ht="15">
      <c r="B16" s="4" t="s">
        <v>119</v>
      </c>
    </row>
    <row r="17" ht="15">
      <c r="B17" s="4" t="s">
        <v>173</v>
      </c>
    </row>
    <row r="18" ht="15">
      <c r="B18" s="4" t="s">
        <v>174</v>
      </c>
    </row>
    <row r="19" ht="15">
      <c r="B19" s="4" t="s">
        <v>175</v>
      </c>
    </row>
    <row r="20" ht="15">
      <c r="B20" s="4" t="s">
        <v>176</v>
      </c>
    </row>
    <row r="21" ht="15">
      <c r="B21" s="4"/>
    </row>
    <row r="22" ht="15">
      <c r="B22" s="37" t="s">
        <v>215</v>
      </c>
    </row>
    <row r="23" ht="15">
      <c r="B23" s="37" t="s">
        <v>217</v>
      </c>
    </row>
    <row r="24" ht="15">
      <c r="B24" s="37" t="s">
        <v>282</v>
      </c>
    </row>
    <row r="25" ht="15">
      <c r="B25" s="4"/>
    </row>
    <row r="26" ht="15">
      <c r="B26" s="4" t="s">
        <v>169</v>
      </c>
    </row>
    <row r="27" ht="15">
      <c r="B27" s="4" t="s">
        <v>170</v>
      </c>
    </row>
    <row r="28" ht="15">
      <c r="B28" s="4" t="s">
        <v>177</v>
      </c>
    </row>
    <row r="29" ht="15">
      <c r="B29" s="4"/>
    </row>
    <row r="30" ht="15">
      <c r="B30" s="4" t="s">
        <v>120</v>
      </c>
    </row>
    <row r="31" ht="15">
      <c r="B31" s="4" t="s">
        <v>121</v>
      </c>
    </row>
    <row r="32" ht="15">
      <c r="B32" s="4" t="s">
        <v>122</v>
      </c>
    </row>
    <row r="33" ht="15">
      <c r="B33" s="4" t="s">
        <v>123</v>
      </c>
    </row>
    <row r="34" ht="15">
      <c r="B34" s="4" t="s">
        <v>124</v>
      </c>
    </row>
    <row r="35" ht="15">
      <c r="B35" s="4" t="s">
        <v>162</v>
      </c>
    </row>
    <row r="36" ht="15">
      <c r="B36" s="4" t="s">
        <v>125</v>
      </c>
    </row>
    <row r="37" ht="15">
      <c r="B37" s="4"/>
    </row>
    <row r="38" ht="15">
      <c r="B38" s="4" t="s">
        <v>126</v>
      </c>
    </row>
    <row r="39" ht="15">
      <c r="B39" s="4" t="s">
        <v>127</v>
      </c>
    </row>
    <row r="40" ht="15">
      <c r="B40" s="4" t="s">
        <v>128</v>
      </c>
    </row>
    <row r="41" ht="15">
      <c r="B41" s="4"/>
    </row>
    <row r="42" ht="15">
      <c r="B42" s="4" t="s">
        <v>129</v>
      </c>
    </row>
    <row r="43" ht="15">
      <c r="B43" s="4" t="s">
        <v>130</v>
      </c>
    </row>
    <row r="44" ht="15">
      <c r="B44" s="4" t="s">
        <v>131</v>
      </c>
    </row>
    <row r="45" ht="15">
      <c r="B45" s="4" t="s">
        <v>132</v>
      </c>
    </row>
    <row r="46" ht="15">
      <c r="B46" s="4" t="s">
        <v>133</v>
      </c>
    </row>
    <row r="47" ht="15">
      <c r="B47" s="4" t="s">
        <v>134</v>
      </c>
    </row>
    <row r="48" ht="15">
      <c r="B48" s="4" t="s">
        <v>135</v>
      </c>
    </row>
    <row r="49" ht="15">
      <c r="B49" s="4"/>
    </row>
    <row r="50" ht="15">
      <c r="B50" s="4" t="s">
        <v>136</v>
      </c>
    </row>
    <row r="51" ht="15">
      <c r="B51" s="4" t="s">
        <v>137</v>
      </c>
    </row>
    <row r="52" ht="15">
      <c r="B52" s="4" t="s">
        <v>138</v>
      </c>
    </row>
    <row r="53" ht="15">
      <c r="B53" s="4" t="s">
        <v>139</v>
      </c>
    </row>
    <row r="54" ht="15">
      <c r="B54" s="4" t="s">
        <v>140</v>
      </c>
    </row>
    <row r="55" ht="15">
      <c r="B55" s="4" t="s">
        <v>141</v>
      </c>
    </row>
    <row r="56" ht="15">
      <c r="B56" s="4"/>
    </row>
    <row r="57" ht="15">
      <c r="B57" s="4" t="s">
        <v>142</v>
      </c>
    </row>
    <row r="58" ht="15">
      <c r="B58" s="4" t="s">
        <v>143</v>
      </c>
    </row>
    <row r="59" ht="15">
      <c r="B59" s="4" t="s">
        <v>144</v>
      </c>
    </row>
    <row r="60" ht="15">
      <c r="B60" s="4" t="s">
        <v>145</v>
      </c>
    </row>
    <row r="61" ht="15">
      <c r="B61" s="4" t="s">
        <v>146</v>
      </c>
    </row>
    <row r="62" ht="15">
      <c r="B62" s="4"/>
    </row>
    <row r="63" ht="15">
      <c r="B63" s="4" t="s">
        <v>147</v>
      </c>
    </row>
    <row r="64" ht="15">
      <c r="B64" s="4" t="s">
        <v>148</v>
      </c>
    </row>
    <row r="65" ht="15">
      <c r="B65" s="4" t="s">
        <v>149</v>
      </c>
    </row>
    <row r="66" ht="15">
      <c r="B66" s="4" t="s">
        <v>178</v>
      </c>
    </row>
    <row r="67" ht="15">
      <c r="B67" s="4"/>
    </row>
    <row r="68" ht="15">
      <c r="B68" s="88" t="s">
        <v>150</v>
      </c>
    </row>
    <row r="69" ht="15">
      <c r="B69" s="88" t="s">
        <v>151</v>
      </c>
    </row>
    <row r="70" ht="15">
      <c r="B70" s="88" t="s">
        <v>191</v>
      </c>
    </row>
    <row r="71" ht="15">
      <c r="B71" s="88" t="s">
        <v>190</v>
      </c>
    </row>
    <row r="72" ht="15">
      <c r="B72" s="88"/>
    </row>
    <row r="73" ht="15">
      <c r="B73" s="88" t="s">
        <v>219</v>
      </c>
    </row>
    <row r="74" ht="15">
      <c r="B74" s="88" t="s">
        <v>284</v>
      </c>
    </row>
    <row r="75" ht="15">
      <c r="B75" s="88" t="s">
        <v>283</v>
      </c>
    </row>
    <row r="76" ht="15">
      <c r="B76" s="88"/>
    </row>
    <row r="77" spans="2:4" ht="15">
      <c r="B77" s="88" t="s">
        <v>220</v>
      </c>
      <c r="D77" s="106"/>
    </row>
    <row r="78" spans="2:4" ht="15">
      <c r="B78" s="88" t="s">
        <v>285</v>
      </c>
      <c r="D78" s="106"/>
    </row>
    <row r="79" ht="15">
      <c r="B79" s="88"/>
    </row>
    <row r="80" ht="15">
      <c r="B80" s="4" t="s">
        <v>152</v>
      </c>
    </row>
    <row r="81" ht="15">
      <c r="B81" s="4" t="s">
        <v>163</v>
      </c>
    </row>
    <row r="82" ht="15">
      <c r="B82" s="4"/>
    </row>
    <row r="83" spans="2:3" ht="15">
      <c r="B83" s="4"/>
      <c r="C83" t="s">
        <v>153</v>
      </c>
    </row>
    <row r="84" ht="15">
      <c r="B84" s="4"/>
    </row>
    <row r="85" spans="2:3" ht="15">
      <c r="B85" s="4"/>
      <c r="C85" t="s">
        <v>154</v>
      </c>
    </row>
    <row r="86" spans="2:3" ht="15">
      <c r="B86" s="4"/>
      <c r="C86" t="s">
        <v>155</v>
      </c>
    </row>
    <row r="87" spans="2:3" ht="15">
      <c r="B87" s="4"/>
      <c r="C87" t="s">
        <v>156</v>
      </c>
    </row>
    <row r="88" spans="2:3" ht="15">
      <c r="B88" s="4"/>
      <c r="C88" t="s">
        <v>157</v>
      </c>
    </row>
    <row r="89" spans="2:3" ht="15">
      <c r="B89" s="4"/>
      <c r="C89" t="s">
        <v>164</v>
      </c>
    </row>
    <row r="90" spans="2:3" ht="15">
      <c r="B90" s="4"/>
      <c r="C90" t="s">
        <v>158</v>
      </c>
    </row>
    <row r="91" ht="15">
      <c r="B91" s="4"/>
    </row>
    <row r="92" spans="2:3" ht="15">
      <c r="B92" s="4"/>
      <c r="C92" s="37" t="s">
        <v>228</v>
      </c>
    </row>
    <row r="93" spans="2:3" ht="15">
      <c r="B93" s="4"/>
      <c r="C93" s="37" t="s">
        <v>229</v>
      </c>
    </row>
    <row r="94" spans="2:3" ht="15">
      <c r="B94" s="4"/>
      <c r="C94" s="37" t="s">
        <v>230</v>
      </c>
    </row>
    <row r="95" spans="2:3" ht="15">
      <c r="B95" s="4"/>
      <c r="C95" s="37" t="s">
        <v>286</v>
      </c>
    </row>
    <row r="96" spans="2:3" ht="15">
      <c r="B96" s="4"/>
      <c r="C96" s="37" t="s">
        <v>231</v>
      </c>
    </row>
    <row r="97" spans="2:3" ht="15">
      <c r="B97" s="4"/>
      <c r="C97" s="37" t="s">
        <v>232</v>
      </c>
    </row>
    <row r="98" spans="2:3" ht="15">
      <c r="B98" s="4"/>
      <c r="C98" s="37" t="s">
        <v>239</v>
      </c>
    </row>
    <row r="99" spans="2:3" ht="15">
      <c r="B99" s="4"/>
      <c r="C99" s="37"/>
    </row>
    <row r="100" spans="2:3" ht="15">
      <c r="B100" s="4"/>
      <c r="C100" s="37" t="s">
        <v>233</v>
      </c>
    </row>
    <row r="101" spans="2:3" ht="15">
      <c r="B101" s="4"/>
      <c r="C101" s="37" t="s">
        <v>234</v>
      </c>
    </row>
    <row r="102" spans="2:3" ht="15">
      <c r="B102" s="4"/>
      <c r="C102" s="37" t="s">
        <v>235</v>
      </c>
    </row>
    <row r="103" spans="2:3" ht="15">
      <c r="B103" s="4"/>
      <c r="C103" s="37" t="s">
        <v>237</v>
      </c>
    </row>
    <row r="104" spans="2:3" ht="15">
      <c r="B104" s="4"/>
      <c r="C104" s="37" t="s">
        <v>240</v>
      </c>
    </row>
    <row r="105" spans="2:3" ht="15">
      <c r="B105" s="4"/>
      <c r="C105" s="37" t="s">
        <v>242</v>
      </c>
    </row>
    <row r="106" spans="2:3" ht="15">
      <c r="B106" s="4"/>
      <c r="C106" s="37" t="s">
        <v>241</v>
      </c>
    </row>
    <row r="107" spans="2:3" ht="15">
      <c r="B107" s="4"/>
      <c r="C107" s="37"/>
    </row>
    <row r="108" spans="2:3" ht="15">
      <c r="B108" s="4"/>
      <c r="C108" s="37" t="s">
        <v>236</v>
      </c>
    </row>
    <row r="109" spans="2:3" ht="15">
      <c r="B109" s="4"/>
      <c r="C109" s="37" t="s">
        <v>273</v>
      </c>
    </row>
    <row r="110" spans="2:3" ht="15">
      <c r="B110" s="4"/>
      <c r="C110" s="37" t="s">
        <v>274</v>
      </c>
    </row>
    <row r="111" spans="2:3" ht="15">
      <c r="B111" s="4"/>
      <c r="C111" s="109"/>
    </row>
    <row r="112" ht="15">
      <c r="B112" s="4" t="s">
        <v>159</v>
      </c>
    </row>
    <row r="113" ht="15">
      <c r="B113" s="4" t="s">
        <v>160</v>
      </c>
    </row>
    <row r="114" ht="15">
      <c r="B114" s="4" t="s">
        <v>161</v>
      </c>
    </row>
    <row r="115" ht="15">
      <c r="B115" s="4" t="s">
        <v>218</v>
      </c>
    </row>
    <row r="116" ht="409.5">
      <c r="B116" s="4" t="s">
        <v>287</v>
      </c>
    </row>
    <row r="118" spans="2:11" ht="15">
      <c r="B118" s="117" t="s">
        <v>293</v>
      </c>
      <c r="C118" s="1"/>
      <c r="D118" s="1"/>
      <c r="E118" s="1"/>
      <c r="F118" s="1"/>
      <c r="G118" s="1"/>
      <c r="H118" s="1"/>
      <c r="I118" s="1"/>
      <c r="J118" s="1"/>
      <c r="K118" s="1"/>
    </row>
    <row r="119" ht="15">
      <c r="B119" s="4" t="s">
        <v>291</v>
      </c>
    </row>
    <row r="120" ht="15">
      <c r="B120" s="4" t="s">
        <v>165</v>
      </c>
    </row>
    <row r="121" ht="15">
      <c r="B121" s="4" t="s">
        <v>211</v>
      </c>
    </row>
    <row r="122" ht="15">
      <c r="B122" s="4" t="s">
        <v>212</v>
      </c>
    </row>
    <row r="123" ht="15">
      <c r="B123" s="4" t="s">
        <v>166</v>
      </c>
    </row>
    <row r="124" ht="15">
      <c r="B124" s="4"/>
    </row>
    <row r="125" ht="15">
      <c r="B125" s="4" t="s">
        <v>179</v>
      </c>
    </row>
    <row r="126" ht="15">
      <c r="B126" s="4" t="s">
        <v>180</v>
      </c>
    </row>
    <row r="127" ht="15">
      <c r="B127" s="4" t="s">
        <v>181</v>
      </c>
    </row>
    <row r="128" ht="15">
      <c r="B128" s="4"/>
    </row>
    <row r="129" ht="15">
      <c r="B129" s="112" t="s">
        <v>267</v>
      </c>
    </row>
    <row r="130" ht="15">
      <c r="B130" s="109"/>
    </row>
    <row r="131" ht="15">
      <c r="B131" t="s">
        <v>265</v>
      </c>
    </row>
    <row r="132" ht="15">
      <c r="B132" t="s">
        <v>266</v>
      </c>
    </row>
    <row r="133" ht="409.5">
      <c r="B133" t="s">
        <v>268</v>
      </c>
    </row>
    <row r="135" ht="15">
      <c r="B135" s="111" t="s">
        <v>251</v>
      </c>
    </row>
    <row r="136" ht="15">
      <c r="B136" s="111" t="s">
        <v>245</v>
      </c>
    </row>
    <row r="137" ht="409.5">
      <c r="B137" s="111" t="s">
        <v>246</v>
      </c>
    </row>
    <row r="139" ht="15">
      <c r="B139" s="111" t="s">
        <v>247</v>
      </c>
    </row>
    <row r="140" ht="15">
      <c r="B140" s="111" t="s">
        <v>248</v>
      </c>
    </row>
    <row r="141" ht="15">
      <c r="B141" s="111" t="s">
        <v>249</v>
      </c>
    </row>
    <row r="142" ht="15">
      <c r="B142" s="111" t="s">
        <v>250</v>
      </c>
    </row>
    <row r="143" ht="15">
      <c r="B143" s="111"/>
    </row>
    <row r="144" ht="15">
      <c r="B144" t="s">
        <v>252</v>
      </c>
    </row>
    <row r="145" ht="15">
      <c r="B145" t="s">
        <v>253</v>
      </c>
    </row>
    <row r="146" ht="15">
      <c r="B146" t="s">
        <v>254</v>
      </c>
    </row>
    <row r="147" ht="15">
      <c r="B147" t="s">
        <v>255</v>
      </c>
    </row>
    <row r="148" ht="409.5">
      <c r="B148" t="s">
        <v>243</v>
      </c>
    </row>
    <row r="150" ht="15">
      <c r="B150" s="111" t="s">
        <v>258</v>
      </c>
    </row>
    <row r="151" ht="15">
      <c r="B151" s="111" t="s">
        <v>256</v>
      </c>
    </row>
    <row r="152" ht="15">
      <c r="B152" s="111" t="s">
        <v>262</v>
      </c>
    </row>
    <row r="153" ht="409.5">
      <c r="B153" s="111" t="s">
        <v>257</v>
      </c>
    </row>
    <row r="155" ht="15">
      <c r="B155" s="111" t="s">
        <v>259</v>
      </c>
    </row>
    <row r="156" ht="15">
      <c r="B156" s="111" t="s">
        <v>260</v>
      </c>
    </row>
    <row r="157" ht="15">
      <c r="B157" s="111" t="s">
        <v>263</v>
      </c>
    </row>
    <row r="158" ht="409.5">
      <c r="B158" s="111" t="s">
        <v>261</v>
      </c>
    </row>
    <row r="160" ht="409.5">
      <c r="B160" t="s">
        <v>264</v>
      </c>
    </row>
    <row r="162" ht="409.5">
      <c r="B162" t="s">
        <v>244</v>
      </c>
    </row>
    <row r="165" ht="15">
      <c r="B165" t="s">
        <v>288</v>
      </c>
    </row>
    <row r="166" ht="15">
      <c r="B166" t="s">
        <v>289</v>
      </c>
    </row>
    <row r="167" ht="15">
      <c r="B167" t="s">
        <v>294</v>
      </c>
    </row>
  </sheetData>
  <sheetProtection password="EA69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13.7109375" style="0" customWidth="1"/>
    <col min="3" max="3" width="10.28125" style="0" customWidth="1"/>
    <col min="4" max="4" width="9.7109375" style="0" bestFit="1" customWidth="1"/>
    <col min="6" max="6" width="10.7109375" style="0" bestFit="1" customWidth="1"/>
    <col min="7" max="8" width="10.28125" style="0" customWidth="1"/>
    <col min="9" max="9" width="11.28125" style="0" customWidth="1"/>
    <col min="10" max="10" width="10.57421875" style="0" customWidth="1"/>
    <col min="11" max="11" width="10.57421875" style="0" bestFit="1" customWidth="1"/>
    <col min="12" max="12" width="11.28125" style="0" customWidth="1"/>
    <col min="13" max="13" width="10.7109375" style="0" bestFit="1" customWidth="1"/>
    <col min="14" max="14" width="10.7109375" style="0" customWidth="1"/>
    <col min="15" max="15" width="9.28125" style="0" bestFit="1" customWidth="1"/>
    <col min="16" max="16" width="10.421875" style="0" customWidth="1"/>
    <col min="17" max="18" width="9.57421875" style="0" bestFit="1" customWidth="1"/>
    <col min="19" max="19" width="10.00390625" style="0" customWidth="1"/>
    <col min="20" max="20" width="10.8515625" style="0" customWidth="1"/>
    <col min="21" max="21" width="9.57421875" style="0" customWidth="1"/>
  </cols>
  <sheetData>
    <row r="1" ht="18.75">
      <c r="E1" s="16" t="s">
        <v>7</v>
      </c>
    </row>
    <row r="2" ht="15">
      <c r="E2" s="2" t="s">
        <v>8</v>
      </c>
    </row>
    <row r="3" ht="15">
      <c r="B3" s="2"/>
    </row>
    <row r="4" ht="15">
      <c r="B4" s="108" t="s">
        <v>63</v>
      </c>
    </row>
    <row r="5" ht="15">
      <c r="B5" s="4"/>
    </row>
    <row r="6" ht="15">
      <c r="B6" t="s">
        <v>53</v>
      </c>
    </row>
    <row r="7" ht="15">
      <c r="B7" t="s">
        <v>54</v>
      </c>
    </row>
    <row r="8" ht="15">
      <c r="B8" t="s">
        <v>60</v>
      </c>
    </row>
    <row r="9" ht="15">
      <c r="B9" t="s">
        <v>62</v>
      </c>
    </row>
    <row r="10" ht="15">
      <c r="B10" t="s">
        <v>61</v>
      </c>
    </row>
    <row r="12" ht="15">
      <c r="B12" t="s">
        <v>73</v>
      </c>
    </row>
    <row r="13" ht="15">
      <c r="B13" t="s">
        <v>100</v>
      </c>
    </row>
    <row r="15" ht="15">
      <c r="B15" t="s">
        <v>167</v>
      </c>
    </row>
    <row r="16" ht="15">
      <c r="B16" t="s">
        <v>168</v>
      </c>
    </row>
    <row r="18" spans="2:5" ht="15">
      <c r="B18" s="27" t="s">
        <v>43</v>
      </c>
      <c r="C18" s="1"/>
      <c r="D18" s="1"/>
      <c r="E18" s="1"/>
    </row>
    <row r="20" spans="2:3" ht="15">
      <c r="B20" s="29">
        <v>60</v>
      </c>
      <c r="C20" t="s">
        <v>183</v>
      </c>
    </row>
    <row r="22" spans="2:3" ht="15">
      <c r="B22" s="29">
        <v>65</v>
      </c>
      <c r="C22" t="s">
        <v>59</v>
      </c>
    </row>
    <row r="23" ht="15">
      <c r="B23" t="s">
        <v>113</v>
      </c>
    </row>
    <row r="24" ht="15">
      <c r="B24" t="s">
        <v>114</v>
      </c>
    </row>
    <row r="25" ht="15">
      <c r="B25" t="s">
        <v>115</v>
      </c>
    </row>
    <row r="26" ht="15">
      <c r="B26" s="108" t="s">
        <v>272</v>
      </c>
    </row>
    <row r="27" ht="15">
      <c r="B27" s="108" t="s">
        <v>238</v>
      </c>
    </row>
    <row r="28" ht="15">
      <c r="B28" s="109" t="s">
        <v>269</v>
      </c>
    </row>
    <row r="29" spans="2:4" ht="15">
      <c r="B29" s="110" t="s">
        <v>271</v>
      </c>
      <c r="D29" s="7"/>
    </row>
    <row r="30" spans="2:4" ht="15">
      <c r="B30" s="110" t="s">
        <v>270</v>
      </c>
      <c r="D30" s="7"/>
    </row>
    <row r="31" ht="15">
      <c r="O31" s="7"/>
    </row>
    <row r="32" spans="2:15" ht="15">
      <c r="B32" s="110" t="s">
        <v>116</v>
      </c>
      <c r="O32" s="7"/>
    </row>
    <row r="34" spans="2:3" ht="15">
      <c r="B34" s="30">
        <v>100000</v>
      </c>
      <c r="C34" t="s">
        <v>49</v>
      </c>
    </row>
    <row r="35" ht="15">
      <c r="B35" t="s">
        <v>50</v>
      </c>
    </row>
    <row r="36" ht="15">
      <c r="B36" s="4" t="s">
        <v>46</v>
      </c>
    </row>
    <row r="37" ht="15">
      <c r="B37" t="s">
        <v>51</v>
      </c>
    </row>
    <row r="38" ht="15">
      <c r="B38" s="4" t="s">
        <v>52</v>
      </c>
    </row>
    <row r="39" ht="15">
      <c r="B39" s="4"/>
    </row>
    <row r="40" spans="2:3" ht="15">
      <c r="B40" s="31">
        <v>0.9</v>
      </c>
      <c r="C40" t="s">
        <v>74</v>
      </c>
    </row>
    <row r="41" ht="15">
      <c r="B41" s="33" t="s">
        <v>75</v>
      </c>
    </row>
    <row r="42" ht="15">
      <c r="B42" s="33"/>
    </row>
    <row r="43" ht="15">
      <c r="B43" s="4" t="s">
        <v>39</v>
      </c>
    </row>
    <row r="44" ht="15">
      <c r="B44" s="4" t="s">
        <v>44</v>
      </c>
    </row>
    <row r="45" ht="15">
      <c r="B45" s="4"/>
    </row>
    <row r="46" ht="15">
      <c r="B46" s="34" t="s">
        <v>2</v>
      </c>
    </row>
    <row r="47" spans="2:3" ht="15">
      <c r="B47" s="31">
        <v>0.3</v>
      </c>
      <c r="C47" t="s">
        <v>55</v>
      </c>
    </row>
    <row r="48" spans="2:3" ht="15">
      <c r="B48" s="31">
        <v>0.25</v>
      </c>
      <c r="C48" t="s">
        <v>213</v>
      </c>
    </row>
    <row r="49" spans="2:5" ht="15">
      <c r="B49" s="31">
        <v>0.3</v>
      </c>
      <c r="C49" t="s">
        <v>214</v>
      </c>
      <c r="E49" s="105" t="s">
        <v>99</v>
      </c>
    </row>
    <row r="50" ht="15">
      <c r="B50" s="4"/>
    </row>
    <row r="51" spans="2:3" ht="15">
      <c r="B51" s="107">
        <v>0.005</v>
      </c>
      <c r="C51" t="s">
        <v>226</v>
      </c>
    </row>
    <row r="52" spans="2:3" ht="15">
      <c r="B52" s="4"/>
      <c r="C52" t="s">
        <v>227</v>
      </c>
    </row>
    <row r="53" spans="2:3" ht="15">
      <c r="B53" s="4"/>
      <c r="C53" t="s">
        <v>223</v>
      </c>
    </row>
    <row r="54" spans="2:3" ht="15">
      <c r="B54" s="4"/>
      <c r="C54" t="s">
        <v>225</v>
      </c>
    </row>
    <row r="55" spans="2:3" ht="15">
      <c r="B55" s="4"/>
      <c r="C55" t="s">
        <v>224</v>
      </c>
    </row>
    <row r="57" spans="2:7" ht="15">
      <c r="B57" s="34" t="s">
        <v>45</v>
      </c>
      <c r="C57" s="34" t="s">
        <v>10</v>
      </c>
      <c r="G57" s="33"/>
    </row>
    <row r="58" spans="2:7" ht="15">
      <c r="B58" s="31">
        <v>0.05</v>
      </c>
      <c r="C58" s="31">
        <v>0.03</v>
      </c>
      <c r="D58" t="s">
        <v>55</v>
      </c>
      <c r="G58" s="4"/>
    </row>
    <row r="59" spans="2:7" ht="15">
      <c r="B59" s="31">
        <v>0.06</v>
      </c>
      <c r="C59" s="31">
        <v>0.04</v>
      </c>
      <c r="D59" t="s">
        <v>47</v>
      </c>
      <c r="G59" s="4"/>
    </row>
    <row r="60" spans="2:7" ht="15">
      <c r="B60" s="31">
        <v>0.07</v>
      </c>
      <c r="C60" s="31">
        <v>0.05</v>
      </c>
      <c r="D60" t="s">
        <v>48</v>
      </c>
      <c r="G60" s="4"/>
    </row>
    <row r="62" ht="15">
      <c r="B62" s="4" t="s">
        <v>64</v>
      </c>
    </row>
    <row r="63" ht="15">
      <c r="B63" s="4" t="s">
        <v>65</v>
      </c>
    </row>
    <row r="64" ht="15">
      <c r="B64" t="s">
        <v>66</v>
      </c>
    </row>
    <row r="65" ht="15">
      <c r="B65" t="s">
        <v>67</v>
      </c>
    </row>
    <row r="66" ht="15">
      <c r="B66" t="s">
        <v>68</v>
      </c>
    </row>
    <row r="67" ht="15">
      <c r="B67" t="s">
        <v>70</v>
      </c>
    </row>
    <row r="68" spans="2:3" ht="15">
      <c r="B68" t="s">
        <v>71</v>
      </c>
      <c r="C68" s="4"/>
    </row>
    <row r="69" ht="15">
      <c r="B69" t="s">
        <v>72</v>
      </c>
    </row>
    <row r="70" ht="15">
      <c r="B70" s="35" t="s">
        <v>56</v>
      </c>
    </row>
    <row r="71" ht="15">
      <c r="B71" s="4"/>
    </row>
    <row r="72" spans="2:3" ht="15">
      <c r="B72" s="30">
        <v>30000</v>
      </c>
      <c r="C72" t="s">
        <v>76</v>
      </c>
    </row>
    <row r="73" spans="2:10" ht="15">
      <c r="B73" s="28" t="s">
        <v>184</v>
      </c>
      <c r="C73" s="28"/>
      <c r="D73" s="1"/>
      <c r="E73" s="1"/>
      <c r="F73" s="1"/>
      <c r="G73" s="1"/>
      <c r="H73" s="1"/>
      <c r="I73" s="1"/>
      <c r="J73" s="39">
        <f>B34*E208*B40</f>
        <v>27000</v>
      </c>
    </row>
    <row r="74" ht="15">
      <c r="B74" t="s">
        <v>185</v>
      </c>
    </row>
    <row r="75" ht="15">
      <c r="B75" t="s">
        <v>186</v>
      </c>
    </row>
    <row r="77" spans="2:15" ht="15">
      <c r="B77" s="32">
        <f>G77</f>
        <v>5100</v>
      </c>
      <c r="C77" t="s">
        <v>105</v>
      </c>
      <c r="E77" t="s">
        <v>117</v>
      </c>
      <c r="G77" s="73">
        <f>ROUND(PMT(B60-C60,90-B22,-B72-B34*(1-B47)),-2)</f>
        <v>5100</v>
      </c>
      <c r="O77" s="7"/>
    </row>
    <row r="78" ht="15">
      <c r="O78" s="7"/>
    </row>
    <row r="79" spans="2:15" ht="15">
      <c r="B79" t="s">
        <v>171</v>
      </c>
      <c r="O79" s="7"/>
    </row>
    <row r="80" spans="2:15" ht="15">
      <c r="B80" t="s">
        <v>108</v>
      </c>
      <c r="O80" s="7"/>
    </row>
    <row r="81" ht="15">
      <c r="O81" s="7"/>
    </row>
    <row r="82" spans="2:15" ht="15">
      <c r="B82" s="1" t="s">
        <v>280</v>
      </c>
      <c r="C82" s="1"/>
      <c r="D82" s="1"/>
      <c r="E82" s="1"/>
      <c r="F82" s="1"/>
      <c r="O82" s="7"/>
    </row>
    <row r="83" spans="2:15" ht="15">
      <c r="B83" s="1" t="s">
        <v>107</v>
      </c>
      <c r="C83" s="1"/>
      <c r="D83" s="1"/>
      <c r="E83" s="1"/>
      <c r="F83" s="1"/>
      <c r="O83" s="7"/>
    </row>
    <row r="84" spans="2:15" ht="15">
      <c r="B84" s="1" t="s">
        <v>109</v>
      </c>
      <c r="C84" s="1"/>
      <c r="D84" s="28"/>
      <c r="E84" s="1"/>
      <c r="F84" s="1"/>
      <c r="O84" s="7"/>
    </row>
    <row r="85" spans="2:15" ht="15">
      <c r="B85" s="1" t="s">
        <v>110</v>
      </c>
      <c r="C85" s="1"/>
      <c r="D85" s="28"/>
      <c r="E85" s="1"/>
      <c r="F85" s="1"/>
      <c r="O85" s="7"/>
    </row>
    <row r="86" spans="2:15" ht="15">
      <c r="B86" s="1" t="s">
        <v>111</v>
      </c>
      <c r="C86" s="1"/>
      <c r="D86" s="1"/>
      <c r="E86" s="1"/>
      <c r="F86" s="1"/>
      <c r="O86" s="7"/>
    </row>
    <row r="87" spans="2:15" ht="15">
      <c r="B87" s="1" t="s">
        <v>112</v>
      </c>
      <c r="C87" s="1"/>
      <c r="D87" s="1"/>
      <c r="E87" s="1"/>
      <c r="F87" s="1"/>
      <c r="O87" s="7"/>
    </row>
    <row r="88" spans="3:15" ht="15">
      <c r="C88" s="72"/>
      <c r="D88" s="72"/>
      <c r="O88" s="7"/>
    </row>
    <row r="89" spans="2:15" ht="15">
      <c r="B89" s="88" t="s">
        <v>189</v>
      </c>
      <c r="C89" s="72"/>
      <c r="D89" s="72"/>
      <c r="O89" s="7"/>
    </row>
    <row r="90" spans="2:15" ht="15">
      <c r="B90" s="88" t="s">
        <v>188</v>
      </c>
      <c r="O90" s="7"/>
    </row>
    <row r="91" spans="2:15" ht="15">
      <c r="B91" s="88" t="s">
        <v>192</v>
      </c>
      <c r="O91" s="7"/>
    </row>
    <row r="92" spans="2:15" ht="15">
      <c r="B92" s="88" t="s">
        <v>194</v>
      </c>
      <c r="O92" s="7"/>
    </row>
    <row r="93" spans="2:15" ht="15">
      <c r="B93" s="88" t="s">
        <v>195</v>
      </c>
      <c r="O93" s="7"/>
    </row>
    <row r="94" spans="2:15" ht="15">
      <c r="B94" s="88" t="s">
        <v>193</v>
      </c>
      <c r="O94" s="7"/>
    </row>
    <row r="95" spans="2:15" ht="15">
      <c r="B95" s="4"/>
      <c r="O95" s="7"/>
    </row>
    <row r="96" spans="2:15" ht="15">
      <c r="B96" s="82" t="s">
        <v>172</v>
      </c>
      <c r="O96" s="7"/>
    </row>
    <row r="97" ht="15">
      <c r="O97" s="7"/>
    </row>
    <row r="98" spans="2:15" ht="15">
      <c r="B98" s="87">
        <f>IF(B22&gt;59,0,IF(LOOKUP(59,F131:G197)&gt;0,1,0))</f>
        <v>0</v>
      </c>
      <c r="C98" s="36" t="str">
        <f>IF(B98&gt;0,"Caution!  IRA draw before 59 1/2.  See Introduction tab notes and financial adviser.","No problem with IRA draw before 59 1/2.")</f>
        <v>No problem with IRA draw before 59 1/2.</v>
      </c>
      <c r="O98" s="7"/>
    </row>
    <row r="99" spans="2:15" ht="15">
      <c r="B99" s="85">
        <f>IF(B22&gt;59,0,IF(LOOKUP(59,I131:J197)&gt;0,1,0))</f>
        <v>0</v>
      </c>
      <c r="C99" s="36" t="str">
        <f>IF(B99&gt;0,"Caution!  Withdrawal from Roth before 59 1/2.  See Introduction notes and professional adviser.","No problem with initial draw from Roth.")</f>
        <v>No problem with initial draw from Roth.</v>
      </c>
      <c r="O99" s="7"/>
    </row>
    <row r="100" spans="2:15" ht="15">
      <c r="B100" s="85">
        <f>IF(LOOKUP(B20+4,I131:J197)&gt;0,1,0)</f>
        <v>0</v>
      </c>
      <c r="C100" s="36" t="str">
        <f>IF(B100&gt;0,"Caution!  You have started draws from Roth less than 5 years after conversion.  See Introduction tab notes and a financial adviser.","You meet the Roth 5 year ruling.")</f>
        <v>You meet the Roth 5 year ruling.</v>
      </c>
      <c r="O100" s="7"/>
    </row>
    <row r="102" spans="2:11" ht="15">
      <c r="B102" s="1" t="s">
        <v>41</v>
      </c>
      <c r="C102" s="1"/>
      <c r="D102" s="28"/>
      <c r="E102" s="1"/>
      <c r="F102" s="1"/>
      <c r="G102" s="1"/>
      <c r="H102" s="1"/>
      <c r="I102" s="1"/>
      <c r="J102" s="1"/>
      <c r="K102" s="1"/>
    </row>
    <row r="103" spans="2:11" ht="15">
      <c r="B103" s="1" t="s">
        <v>42</v>
      </c>
      <c r="C103" s="1"/>
      <c r="D103" s="28"/>
      <c r="E103" s="1"/>
      <c r="F103" s="1"/>
      <c r="G103" s="1"/>
      <c r="H103" s="1"/>
      <c r="I103" s="1"/>
      <c r="J103" s="1"/>
      <c r="K103" s="1"/>
    </row>
    <row r="105" spans="2:10" ht="15"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2:10" ht="15">
      <c r="B106" s="18"/>
      <c r="C106" s="17"/>
      <c r="D106" s="17"/>
      <c r="E106" s="19" t="s">
        <v>23</v>
      </c>
      <c r="F106" s="17"/>
      <c r="G106" s="17"/>
      <c r="H106" s="17"/>
      <c r="I106" s="17"/>
      <c r="J106" s="17"/>
    </row>
    <row r="107" spans="2:10" ht="15">
      <c r="B107" s="18"/>
      <c r="C107" s="17"/>
      <c r="D107" s="17"/>
      <c r="E107" s="17"/>
      <c r="F107" s="17"/>
      <c r="G107" s="17"/>
      <c r="H107" s="17"/>
      <c r="I107" s="17"/>
      <c r="J107" s="17"/>
    </row>
    <row r="108" spans="2:10" ht="15">
      <c r="B108" s="20" t="s">
        <v>24</v>
      </c>
      <c r="C108" s="17"/>
      <c r="D108" s="21"/>
      <c r="E108" s="21"/>
      <c r="F108" s="21"/>
      <c r="G108" s="21"/>
      <c r="H108" s="21"/>
      <c r="I108" s="21"/>
      <c r="J108" s="21"/>
    </row>
    <row r="109" spans="2:10" ht="15">
      <c r="B109" s="20" t="s">
        <v>25</v>
      </c>
      <c r="C109" s="17"/>
      <c r="D109" s="21"/>
      <c r="E109" s="21"/>
      <c r="F109" s="21"/>
      <c r="G109" s="21"/>
      <c r="H109" s="21"/>
      <c r="I109" s="21"/>
      <c r="J109" s="21"/>
    </row>
    <row r="110" spans="2:10" ht="15">
      <c r="B110" s="20" t="s">
        <v>26</v>
      </c>
      <c r="C110" s="17"/>
      <c r="D110" s="21"/>
      <c r="E110" s="21"/>
      <c r="F110" s="21"/>
      <c r="G110" s="21"/>
      <c r="H110" s="21"/>
      <c r="I110" s="21"/>
      <c r="J110" s="21"/>
    </row>
    <row r="111" spans="2:10" ht="15">
      <c r="B111" s="20" t="s">
        <v>27</v>
      </c>
      <c r="C111" s="17"/>
      <c r="D111" s="21"/>
      <c r="E111" s="21"/>
      <c r="F111" s="21"/>
      <c r="G111" s="21"/>
      <c r="H111" s="21"/>
      <c r="I111" s="21"/>
      <c r="J111" s="21"/>
    </row>
    <row r="112" spans="2:10" ht="15">
      <c r="B112" s="20" t="s">
        <v>28</v>
      </c>
      <c r="C112" s="17"/>
      <c r="D112" s="21"/>
      <c r="E112" s="21"/>
      <c r="F112" s="21"/>
      <c r="G112" s="21"/>
      <c r="H112" s="21"/>
      <c r="I112" s="21"/>
      <c r="J112" s="21"/>
    </row>
    <row r="113" spans="2:10" ht="15">
      <c r="B113" s="20" t="s">
        <v>29</v>
      </c>
      <c r="C113" s="17"/>
      <c r="D113" s="21"/>
      <c r="E113" s="21"/>
      <c r="F113" s="21"/>
      <c r="G113" s="21"/>
      <c r="H113" s="21"/>
      <c r="I113" s="21"/>
      <c r="J113" s="21"/>
    </row>
    <row r="114" spans="2:10" ht="15">
      <c r="B114" s="20" t="s">
        <v>30</v>
      </c>
      <c r="C114" s="17"/>
      <c r="D114" s="21"/>
      <c r="E114" s="21"/>
      <c r="F114" s="21"/>
      <c r="G114" s="21"/>
      <c r="H114" s="21"/>
      <c r="I114" s="21"/>
      <c r="J114" s="21"/>
    </row>
    <row r="115" spans="2:10" ht="15">
      <c r="B115" s="20" t="s">
        <v>31</v>
      </c>
      <c r="C115" s="17"/>
      <c r="D115" s="21"/>
      <c r="E115" s="21"/>
      <c r="F115" s="21"/>
      <c r="G115" s="21"/>
      <c r="H115" s="21"/>
      <c r="I115" s="21"/>
      <c r="J115" s="21"/>
    </row>
    <row r="116" spans="2:10" ht="15">
      <c r="B116" s="20" t="s">
        <v>32</v>
      </c>
      <c r="C116" s="17"/>
      <c r="D116" s="21"/>
      <c r="E116" s="21"/>
      <c r="F116" s="21"/>
      <c r="G116" s="21"/>
      <c r="H116" s="21"/>
      <c r="I116" s="21"/>
      <c r="J116" s="21"/>
    </row>
    <row r="117" spans="2:10" ht="15">
      <c r="B117" s="20" t="s">
        <v>33</v>
      </c>
      <c r="C117" s="17"/>
      <c r="D117" s="21"/>
      <c r="E117" s="21"/>
      <c r="F117" s="21"/>
      <c r="G117" s="21"/>
      <c r="H117" s="21"/>
      <c r="I117" s="21"/>
      <c r="J117" s="21"/>
    </row>
    <row r="118" spans="2:10" ht="15">
      <c r="B118" s="20" t="s">
        <v>34</v>
      </c>
      <c r="C118" s="17"/>
      <c r="D118" s="21"/>
      <c r="E118" s="21"/>
      <c r="F118" s="21"/>
      <c r="G118" s="21"/>
      <c r="H118" s="21"/>
      <c r="I118" s="21"/>
      <c r="J118" s="21"/>
    </row>
    <row r="119" spans="2:10" ht="15">
      <c r="B119" s="20" t="s">
        <v>35</v>
      </c>
      <c r="C119" s="17"/>
      <c r="D119" s="21"/>
      <c r="E119" s="21"/>
      <c r="F119" s="21"/>
      <c r="G119" s="21"/>
      <c r="H119" s="21"/>
      <c r="I119" s="21"/>
      <c r="J119" s="21"/>
    </row>
    <row r="120" spans="2:10" ht="15">
      <c r="B120" s="20" t="s">
        <v>36</v>
      </c>
      <c r="C120" s="17"/>
      <c r="D120" s="21"/>
      <c r="E120" s="21"/>
      <c r="F120" s="21"/>
      <c r="G120" s="21"/>
      <c r="H120" s="21"/>
      <c r="I120" s="21"/>
      <c r="J120" s="21"/>
    </row>
    <row r="121" spans="2:10" ht="15">
      <c r="B121" s="20" t="s">
        <v>37</v>
      </c>
      <c r="C121" s="17"/>
      <c r="D121" s="21"/>
      <c r="E121" s="21"/>
      <c r="F121" s="21"/>
      <c r="G121" s="21"/>
      <c r="H121" s="21"/>
      <c r="I121" s="21"/>
      <c r="J121" s="21"/>
    </row>
    <row r="122" spans="2:10" ht="15">
      <c r="B122" s="20" t="s">
        <v>38</v>
      </c>
      <c r="C122" s="17"/>
      <c r="D122" s="21"/>
      <c r="E122" s="21"/>
      <c r="F122" s="21"/>
      <c r="G122" s="21"/>
      <c r="H122" s="21"/>
      <c r="I122" s="21"/>
      <c r="J122" s="21"/>
    </row>
    <row r="123" spans="2:10" ht="15">
      <c r="B123" s="21"/>
      <c r="C123" s="21"/>
      <c r="D123" s="21"/>
      <c r="E123" s="21"/>
      <c r="F123" s="21"/>
      <c r="G123" s="21"/>
      <c r="H123" s="21"/>
      <c r="I123" s="21"/>
      <c r="J123" s="21"/>
    </row>
    <row r="124" spans="2:7" ht="15">
      <c r="B124" s="7"/>
      <c r="D124" s="10"/>
      <c r="E124" s="10"/>
      <c r="F124" s="3"/>
      <c r="G124" s="3"/>
    </row>
    <row r="125" spans="1:16" ht="15">
      <c r="A125" s="37"/>
      <c r="D125" s="36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</row>
    <row r="126" spans="1:16" ht="15">
      <c r="A126" s="37"/>
      <c r="D126" s="36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</row>
    <row r="127" spans="1:16" ht="15">
      <c r="A127" s="37"/>
      <c r="D127" s="36"/>
      <c r="E127" s="37"/>
      <c r="F127" s="37"/>
      <c r="G127" s="36"/>
      <c r="H127" s="36"/>
      <c r="I127" s="36"/>
      <c r="J127" s="36"/>
      <c r="K127" s="36"/>
      <c r="L127" s="36"/>
      <c r="M127" s="36"/>
      <c r="N127" s="36"/>
      <c r="O127" s="36"/>
      <c r="P127" s="36"/>
    </row>
    <row r="128" spans="1:16" ht="15">
      <c r="A128" s="37"/>
      <c r="B128" s="36"/>
      <c r="C128" s="36"/>
      <c r="D128" s="36"/>
      <c r="E128" s="37"/>
      <c r="F128" s="37"/>
      <c r="G128" s="36"/>
      <c r="H128" s="36"/>
      <c r="I128" s="36"/>
      <c r="J128" s="36"/>
      <c r="K128" s="36"/>
      <c r="L128" s="36"/>
      <c r="M128" s="36"/>
      <c r="N128" s="36"/>
      <c r="O128" s="36"/>
      <c r="P128" s="36"/>
    </row>
    <row r="129" spans="1:16" ht="15">
      <c r="A129" s="37"/>
      <c r="B129" s="36"/>
      <c r="C129" s="36"/>
      <c r="D129" s="36"/>
      <c r="E129" s="37"/>
      <c r="F129" s="37"/>
      <c r="G129" s="36"/>
      <c r="H129" s="36"/>
      <c r="I129" s="36"/>
      <c r="J129" s="36"/>
      <c r="K129" s="36"/>
      <c r="L129" s="36"/>
      <c r="M129" s="36"/>
      <c r="N129" s="36"/>
      <c r="O129" s="36"/>
      <c r="P129" s="36"/>
    </row>
    <row r="130" spans="1:21" ht="15">
      <c r="A130" s="37"/>
      <c r="B130" s="24" t="s">
        <v>5</v>
      </c>
      <c r="C130" s="25" t="s">
        <v>18</v>
      </c>
      <c r="D130" s="25" t="s">
        <v>19</v>
      </c>
      <c r="E130" s="25"/>
      <c r="F130" s="24" t="s">
        <v>5</v>
      </c>
      <c r="G130" s="25" t="s">
        <v>57</v>
      </c>
      <c r="H130" s="25"/>
      <c r="I130" s="24" t="s">
        <v>5</v>
      </c>
      <c r="J130" s="25" t="s">
        <v>58</v>
      </c>
      <c r="K130" s="25"/>
      <c r="L130" s="24" t="s">
        <v>5</v>
      </c>
      <c r="M130" s="25" t="s">
        <v>69</v>
      </c>
      <c r="N130" s="25" t="s">
        <v>45</v>
      </c>
      <c r="O130" s="25" t="s">
        <v>10</v>
      </c>
      <c r="P130" s="36"/>
      <c r="Q130" s="7"/>
      <c r="R130" s="7"/>
      <c r="S130" s="7"/>
      <c r="T130" s="7"/>
      <c r="U130" s="7"/>
    </row>
    <row r="131" spans="1:21" ht="15">
      <c r="A131" s="37"/>
      <c r="B131" s="25">
        <f>B20</f>
        <v>60</v>
      </c>
      <c r="C131" s="26">
        <f aca="true" t="shared" si="0" ref="C131:C162">P208*IF(B131&gt;105,0,1)</f>
        <v>103000</v>
      </c>
      <c r="D131" s="26">
        <f aca="true" t="shared" si="1" ref="D131:D162">Y208*IF(B131&gt;105,0,1)</f>
        <v>100000</v>
      </c>
      <c r="E131" s="25"/>
      <c r="F131" s="25">
        <f>B131</f>
        <v>60</v>
      </c>
      <c r="G131" s="26">
        <f>IF(F131&gt;105,0,IF(U208+V208&lt;0,0,U208+V208))</f>
        <v>0</v>
      </c>
      <c r="H131" s="25"/>
      <c r="I131" s="25">
        <f>B131</f>
        <v>60</v>
      </c>
      <c r="J131" s="26">
        <f>IF(I131&gt;105,0,IF(M208&lt;0,0,M208))</f>
        <v>0</v>
      </c>
      <c r="K131" s="25"/>
      <c r="L131" s="25">
        <f>B131</f>
        <v>60</v>
      </c>
      <c r="M131" s="38">
        <f aca="true" t="shared" si="2" ref="M131:M162">E208</f>
        <v>0.3</v>
      </c>
      <c r="N131" s="38">
        <f aca="true" t="shared" si="3" ref="N131:N162">F208</f>
        <v>0.05</v>
      </c>
      <c r="O131" s="38">
        <f aca="true" t="shared" si="4" ref="O131:O162">G208</f>
        <v>0.03</v>
      </c>
      <c r="P131" s="36"/>
      <c r="Q131" s="7"/>
      <c r="R131" s="7"/>
      <c r="S131" s="7"/>
      <c r="T131" s="7"/>
      <c r="U131" s="7"/>
    </row>
    <row r="132" spans="1:21" ht="15">
      <c r="A132" s="37"/>
      <c r="B132" s="25">
        <f>B131+1</f>
        <v>61</v>
      </c>
      <c r="C132" s="26">
        <f t="shared" si="0"/>
        <v>108105</v>
      </c>
      <c r="D132" s="26">
        <f t="shared" si="1"/>
        <v>109668.75</v>
      </c>
      <c r="E132" s="25"/>
      <c r="F132" s="25">
        <f aca="true" t="shared" si="5" ref="F132:F142">B132</f>
        <v>61</v>
      </c>
      <c r="G132" s="26">
        <f aca="true" t="shared" si="6" ref="G132:G195">IF(F132&gt;105,0,IF(U209+V209&lt;0,0,U209+V209))</f>
        <v>0</v>
      </c>
      <c r="H132" s="25"/>
      <c r="I132" s="25">
        <f aca="true" t="shared" si="7" ref="I132:I142">B132</f>
        <v>61</v>
      </c>
      <c r="J132" s="26">
        <f aca="true" t="shared" si="8" ref="J132:J195">IF(I132&gt;105,0,IF(M209&lt;0,0,M209))</f>
        <v>0</v>
      </c>
      <c r="K132" s="25"/>
      <c r="L132" s="25">
        <f aca="true" t="shared" si="9" ref="L132:L195">B132</f>
        <v>61</v>
      </c>
      <c r="M132" s="38">
        <f t="shared" si="2"/>
        <v>0.25125</v>
      </c>
      <c r="N132" s="38">
        <f t="shared" si="3"/>
        <v>0.06</v>
      </c>
      <c r="O132" s="38">
        <f t="shared" si="4"/>
        <v>0.04</v>
      </c>
      <c r="P132" s="36"/>
      <c r="Q132" s="7"/>
      <c r="R132" s="7"/>
      <c r="S132" s="7"/>
      <c r="T132" s="7"/>
      <c r="U132" s="7"/>
    </row>
    <row r="133" spans="1:21" ht="15">
      <c r="A133" s="37"/>
      <c r="B133" s="25">
        <f>B132+1</f>
        <v>62</v>
      </c>
      <c r="C133" s="26">
        <f t="shared" si="0"/>
        <v>114544.492125</v>
      </c>
      <c r="D133" s="26">
        <f t="shared" si="1"/>
        <v>115640.975625</v>
      </c>
      <c r="E133" s="25"/>
      <c r="F133" s="25">
        <f t="shared" si="5"/>
        <v>62</v>
      </c>
      <c r="G133" s="26">
        <f t="shared" si="6"/>
        <v>0</v>
      </c>
      <c r="H133" s="25"/>
      <c r="I133" s="25">
        <f t="shared" si="7"/>
        <v>62</v>
      </c>
      <c r="J133" s="26">
        <f t="shared" si="8"/>
        <v>0</v>
      </c>
      <c r="K133" s="25"/>
      <c r="L133" s="25">
        <f t="shared" si="9"/>
        <v>62</v>
      </c>
      <c r="M133" s="38">
        <f t="shared" si="2"/>
        <v>0.25250624999999993</v>
      </c>
      <c r="N133" s="38">
        <f t="shared" si="3"/>
        <v>0.0625</v>
      </c>
      <c r="O133" s="38">
        <f t="shared" si="4"/>
        <v>0.042499999999999996</v>
      </c>
      <c r="P133" s="36"/>
      <c r="Q133" s="7"/>
      <c r="R133" s="7"/>
      <c r="S133" s="7"/>
      <c r="T133" s="7"/>
      <c r="U133" s="7"/>
    </row>
    <row r="134" spans="1:21" ht="15">
      <c r="A134" s="37"/>
      <c r="B134" s="25">
        <f aca="true" t="shared" si="10" ref="B134:B197">B133+1</f>
        <v>63</v>
      </c>
      <c r="C134" s="26">
        <f t="shared" si="0"/>
        <v>121652.3194740851</v>
      </c>
      <c r="D134" s="26">
        <f t="shared" si="1"/>
        <v>122207.20030315577</v>
      </c>
      <c r="E134" s="25"/>
      <c r="F134" s="25">
        <f t="shared" si="5"/>
        <v>63</v>
      </c>
      <c r="G134" s="26">
        <f t="shared" si="6"/>
        <v>0</v>
      </c>
      <c r="H134" s="25"/>
      <c r="I134" s="25">
        <f t="shared" si="7"/>
        <v>63</v>
      </c>
      <c r="J134" s="26">
        <f t="shared" si="8"/>
        <v>0</v>
      </c>
      <c r="K134" s="25"/>
      <c r="L134" s="25">
        <f t="shared" si="9"/>
        <v>63</v>
      </c>
      <c r="M134" s="38">
        <f t="shared" si="2"/>
        <v>0.2537687812499999</v>
      </c>
      <c r="N134" s="38">
        <f t="shared" si="3"/>
        <v>0.065</v>
      </c>
      <c r="O134" s="38">
        <f t="shared" si="4"/>
        <v>0.045</v>
      </c>
      <c r="P134" s="36"/>
      <c r="Q134" s="7"/>
      <c r="R134" s="7"/>
      <c r="S134" s="7"/>
      <c r="T134" s="7"/>
      <c r="U134" s="7"/>
    </row>
    <row r="135" spans="1:21" ht="15">
      <c r="A135" s="37"/>
      <c r="B135" s="25">
        <f t="shared" si="10"/>
        <v>64</v>
      </c>
      <c r="C135" s="26">
        <f t="shared" si="0"/>
        <v>129503.70217315451</v>
      </c>
      <c r="D135" s="26">
        <f t="shared" si="1"/>
        <v>129430.6857662689</v>
      </c>
      <c r="E135" s="25"/>
      <c r="F135" s="25">
        <f t="shared" si="5"/>
        <v>64</v>
      </c>
      <c r="G135" s="26">
        <f t="shared" si="6"/>
        <v>0</v>
      </c>
      <c r="H135" s="25"/>
      <c r="I135" s="25">
        <f t="shared" si="7"/>
        <v>64</v>
      </c>
      <c r="J135" s="26">
        <f t="shared" si="8"/>
        <v>0</v>
      </c>
      <c r="K135" s="25"/>
      <c r="L135" s="25">
        <f t="shared" si="9"/>
        <v>64</v>
      </c>
      <c r="M135" s="38">
        <f t="shared" si="2"/>
        <v>0.25503762515624984</v>
      </c>
      <c r="N135" s="38">
        <f t="shared" si="3"/>
        <v>0.0675</v>
      </c>
      <c r="O135" s="38">
        <f t="shared" si="4"/>
        <v>0.0475</v>
      </c>
      <c r="P135" s="36"/>
      <c r="Q135" s="7"/>
      <c r="R135" s="7"/>
      <c r="S135" s="7"/>
      <c r="T135" s="7"/>
      <c r="U135" s="7"/>
    </row>
    <row r="136" spans="1:21" ht="15">
      <c r="A136" s="37"/>
      <c r="B136" s="25">
        <f t="shared" si="10"/>
        <v>65</v>
      </c>
      <c r="C136" s="26">
        <f t="shared" si="0"/>
        <v>138183.90282666867</v>
      </c>
      <c r="D136" s="26">
        <f t="shared" si="1"/>
        <v>130490.87650346674</v>
      </c>
      <c r="E136" s="25"/>
      <c r="F136" s="25">
        <f t="shared" si="5"/>
        <v>65</v>
      </c>
      <c r="G136" s="26">
        <f t="shared" si="6"/>
        <v>0</v>
      </c>
      <c r="H136" s="25"/>
      <c r="I136" s="25">
        <f t="shared" si="7"/>
        <v>65</v>
      </c>
      <c r="J136" s="26">
        <f t="shared" si="8"/>
        <v>0</v>
      </c>
      <c r="K136" s="25"/>
      <c r="L136" s="25">
        <f t="shared" si="9"/>
        <v>65</v>
      </c>
      <c r="M136" s="38">
        <f t="shared" si="2"/>
        <v>0.30757537593843726</v>
      </c>
      <c r="N136" s="38">
        <f t="shared" si="3"/>
        <v>0.07</v>
      </c>
      <c r="O136" s="38">
        <f t="shared" si="4"/>
        <v>0.05</v>
      </c>
      <c r="P136" s="36"/>
      <c r="Q136" s="7"/>
      <c r="R136" s="7"/>
      <c r="S136" s="7"/>
      <c r="T136" s="7"/>
      <c r="U136" s="7"/>
    </row>
    <row r="137" spans="1:21" ht="15">
      <c r="A137" s="37"/>
      <c r="B137" s="25">
        <f t="shared" si="10"/>
        <v>66</v>
      </c>
      <c r="C137" s="26">
        <f t="shared" si="0"/>
        <v>141390.8770116814</v>
      </c>
      <c r="D137" s="26">
        <f t="shared" si="1"/>
        <v>132213.42724468443</v>
      </c>
      <c r="E137" s="25"/>
      <c r="F137" s="25">
        <f t="shared" si="5"/>
        <v>66</v>
      </c>
      <c r="G137" s="26">
        <f t="shared" si="6"/>
        <v>0</v>
      </c>
      <c r="H137" s="25"/>
      <c r="I137" s="25">
        <f t="shared" si="7"/>
        <v>66</v>
      </c>
      <c r="J137" s="26">
        <f t="shared" si="8"/>
        <v>0</v>
      </c>
      <c r="K137" s="25"/>
      <c r="L137" s="25">
        <f t="shared" si="9"/>
        <v>66</v>
      </c>
      <c r="M137" s="38">
        <f t="shared" si="2"/>
        <v>0.30911325281812935</v>
      </c>
      <c r="N137" s="38">
        <f t="shared" si="3"/>
        <v>0.07</v>
      </c>
      <c r="O137" s="38">
        <f t="shared" si="4"/>
        <v>0.05</v>
      </c>
      <c r="P137" s="36"/>
      <c r="Q137" s="7"/>
      <c r="R137" s="7"/>
      <c r="S137" s="7"/>
      <c r="T137" s="7"/>
      <c r="U137" s="7"/>
    </row>
    <row r="138" spans="1:21" ht="15">
      <c r="A138" s="37"/>
      <c r="B138" s="25">
        <f t="shared" si="10"/>
        <v>67</v>
      </c>
      <c r="C138" s="26">
        <f t="shared" si="0"/>
        <v>144637.2642553369</v>
      </c>
      <c r="D138" s="26">
        <f t="shared" si="1"/>
        <v>133815.88754022727</v>
      </c>
      <c r="E138" s="25"/>
      <c r="F138" s="25">
        <f t="shared" si="5"/>
        <v>67</v>
      </c>
      <c r="G138" s="26">
        <f t="shared" si="6"/>
        <v>0</v>
      </c>
      <c r="H138" s="25"/>
      <c r="I138" s="25">
        <f t="shared" si="7"/>
        <v>67</v>
      </c>
      <c r="J138" s="26">
        <f t="shared" si="8"/>
        <v>2464.2590797248195</v>
      </c>
      <c r="K138" s="25"/>
      <c r="L138" s="25">
        <f t="shared" si="9"/>
        <v>67</v>
      </c>
      <c r="M138" s="38">
        <f t="shared" si="2"/>
        <v>0.31065881908222</v>
      </c>
      <c r="N138" s="38">
        <f t="shared" si="3"/>
        <v>0.07</v>
      </c>
      <c r="O138" s="38">
        <f t="shared" si="4"/>
        <v>0.05</v>
      </c>
      <c r="P138" s="36"/>
      <c r="Q138" s="7"/>
      <c r="R138" s="7"/>
      <c r="S138" s="7"/>
      <c r="T138" s="7"/>
      <c r="U138" s="7"/>
    </row>
    <row r="139" spans="1:21" ht="15">
      <c r="A139" s="37"/>
      <c r="B139" s="25">
        <f t="shared" si="10"/>
        <v>68</v>
      </c>
      <c r="C139" s="26">
        <f t="shared" si="0"/>
        <v>147897.9122386345</v>
      </c>
      <c r="D139" s="26">
        <f t="shared" si="1"/>
        <v>135285.46971203008</v>
      </c>
      <c r="E139" s="25"/>
      <c r="F139" s="25">
        <f t="shared" si="5"/>
        <v>68</v>
      </c>
      <c r="G139" s="26">
        <f t="shared" si="6"/>
        <v>0</v>
      </c>
      <c r="H139" s="25"/>
      <c r="I139" s="25">
        <f t="shared" si="7"/>
        <v>68</v>
      </c>
      <c r="J139" s="26">
        <f t="shared" si="8"/>
        <v>9287.731362467779</v>
      </c>
      <c r="K139" s="25"/>
      <c r="L139" s="25">
        <f t="shared" si="9"/>
        <v>68</v>
      </c>
      <c r="M139" s="38">
        <f t="shared" si="2"/>
        <v>0.31221211317763103</v>
      </c>
      <c r="N139" s="38">
        <f t="shared" si="3"/>
        <v>0.07</v>
      </c>
      <c r="O139" s="38">
        <f t="shared" si="4"/>
        <v>0.05</v>
      </c>
      <c r="P139" s="36"/>
      <c r="Q139" s="7"/>
      <c r="R139" s="7"/>
      <c r="S139" s="7"/>
      <c r="T139" s="7"/>
      <c r="U139" s="7"/>
    </row>
    <row r="140" spans="1:21" ht="15">
      <c r="A140" s="37"/>
      <c r="B140" s="25">
        <f t="shared" si="10"/>
        <v>69</v>
      </c>
      <c r="C140" s="26">
        <f t="shared" si="0"/>
        <v>151070.032502961</v>
      </c>
      <c r="D140" s="26">
        <f t="shared" si="1"/>
        <v>136608.68652227393</v>
      </c>
      <c r="E140" s="25"/>
      <c r="F140" s="25">
        <f t="shared" si="5"/>
        <v>69</v>
      </c>
      <c r="G140" s="26">
        <f t="shared" si="6"/>
        <v>0</v>
      </c>
      <c r="H140" s="25"/>
      <c r="I140" s="25">
        <f t="shared" si="7"/>
        <v>69</v>
      </c>
      <c r="J140" s="26">
        <f t="shared" si="8"/>
        <v>14251.324924901273</v>
      </c>
      <c r="K140" s="25"/>
      <c r="L140" s="25">
        <f t="shared" si="9"/>
        <v>69</v>
      </c>
      <c r="M140" s="38">
        <f t="shared" si="2"/>
        <v>0.3137731737435192</v>
      </c>
      <c r="N140" s="38">
        <f t="shared" si="3"/>
        <v>0.07</v>
      </c>
      <c r="O140" s="38">
        <f t="shared" si="4"/>
        <v>0.05</v>
      </c>
      <c r="P140" s="36"/>
      <c r="Q140" s="7"/>
      <c r="R140" s="7"/>
      <c r="S140" s="7"/>
      <c r="T140" s="7"/>
      <c r="U140" s="7"/>
    </row>
    <row r="141" spans="1:21" ht="15">
      <c r="A141" s="37"/>
      <c r="B141" s="25">
        <f t="shared" si="10"/>
        <v>70</v>
      </c>
      <c r="C141" s="26">
        <f t="shared" si="0"/>
        <v>154010.11242072814</v>
      </c>
      <c r="D141" s="26">
        <f t="shared" si="1"/>
        <v>137771.33219464525</v>
      </c>
      <c r="E141" s="25"/>
      <c r="F141" s="25">
        <f t="shared" si="5"/>
        <v>70</v>
      </c>
      <c r="G141" s="26">
        <f t="shared" si="6"/>
        <v>6881.924759365778</v>
      </c>
      <c r="H141" s="25"/>
      <c r="I141" s="25">
        <f t="shared" si="7"/>
        <v>70</v>
      </c>
      <c r="J141" s="26">
        <f t="shared" si="8"/>
        <v>12816.849301868104</v>
      </c>
      <c r="K141" s="25"/>
      <c r="L141" s="25">
        <f t="shared" si="9"/>
        <v>70</v>
      </c>
      <c r="M141" s="38">
        <f t="shared" si="2"/>
        <v>0.3153420396122367</v>
      </c>
      <c r="N141" s="38">
        <f t="shared" si="3"/>
        <v>0.07</v>
      </c>
      <c r="O141" s="38">
        <f t="shared" si="4"/>
        <v>0.05</v>
      </c>
      <c r="P141" s="36"/>
      <c r="Q141" s="7"/>
      <c r="R141" s="7"/>
      <c r="S141" s="7"/>
      <c r="T141" s="7"/>
      <c r="U141" s="7"/>
    </row>
    <row r="142" spans="1:21" ht="15">
      <c r="A142" s="37"/>
      <c r="B142" s="25">
        <f t="shared" si="10"/>
        <v>71</v>
      </c>
      <c r="C142" s="26">
        <f t="shared" si="0"/>
        <v>156647.6424864584</v>
      </c>
      <c r="D142" s="26">
        <f t="shared" si="1"/>
        <v>138939.90779080434</v>
      </c>
      <c r="E142" s="25"/>
      <c r="F142" s="25">
        <f t="shared" si="5"/>
        <v>71</v>
      </c>
      <c r="G142" s="26">
        <f t="shared" si="6"/>
        <v>18334.048670151857</v>
      </c>
      <c r="H142" s="25"/>
      <c r="I142" s="25">
        <f t="shared" si="7"/>
        <v>71</v>
      </c>
      <c r="J142" s="26">
        <f t="shared" si="8"/>
        <v>6598.729813166188</v>
      </c>
      <c r="K142" s="25"/>
      <c r="L142" s="25">
        <f t="shared" si="9"/>
        <v>71</v>
      </c>
      <c r="M142" s="38">
        <f t="shared" si="2"/>
        <v>0.3169187498102979</v>
      </c>
      <c r="N142" s="38">
        <f t="shared" si="3"/>
        <v>0.07</v>
      </c>
      <c r="O142" s="38">
        <f t="shared" si="4"/>
        <v>0.05</v>
      </c>
      <c r="P142" s="36"/>
      <c r="Q142" s="7"/>
      <c r="R142" s="7"/>
      <c r="S142" s="7"/>
      <c r="T142" s="7"/>
      <c r="U142" s="7"/>
    </row>
    <row r="143" spans="1:21" ht="15">
      <c r="A143" s="37"/>
      <c r="B143" s="25">
        <f t="shared" si="10"/>
        <v>72</v>
      </c>
      <c r="C143" s="26">
        <f t="shared" si="0"/>
        <v>159028.49846493895</v>
      </c>
      <c r="D143" s="26">
        <f t="shared" si="1"/>
        <v>140134.73355056654</v>
      </c>
      <c r="E143" s="25"/>
      <c r="F143" s="25">
        <f>B143</f>
        <v>72</v>
      </c>
      <c r="G143" s="26">
        <f t="shared" si="6"/>
        <v>7394.165666147464</v>
      </c>
      <c r="H143" s="25"/>
      <c r="I143" s="25">
        <f>B143</f>
        <v>72</v>
      </c>
      <c r="J143" s="26">
        <f t="shared" si="8"/>
        <v>1938.3796763750452</v>
      </c>
      <c r="K143" s="25"/>
      <c r="L143" s="25">
        <f t="shared" si="9"/>
        <v>72</v>
      </c>
      <c r="M143" s="38">
        <f t="shared" si="2"/>
        <v>0.3185033435593493</v>
      </c>
      <c r="N143" s="38">
        <f t="shared" si="3"/>
        <v>0.07</v>
      </c>
      <c r="O143" s="38">
        <f t="shared" si="4"/>
        <v>0.05</v>
      </c>
      <c r="P143" s="36"/>
      <c r="Q143" s="7"/>
      <c r="R143" s="7"/>
      <c r="S143" s="7"/>
      <c r="T143" s="7"/>
      <c r="U143" s="7"/>
    </row>
    <row r="144" spans="1:21" ht="15">
      <c r="A144" s="37"/>
      <c r="B144" s="25">
        <f t="shared" si="10"/>
        <v>73</v>
      </c>
      <c r="C144" s="26">
        <f t="shared" si="0"/>
        <v>161242.73609022488</v>
      </c>
      <c r="D144" s="26">
        <f t="shared" si="1"/>
        <v>140589.00772140658</v>
      </c>
      <c r="E144" s="25"/>
      <c r="F144" s="25">
        <f>B144</f>
        <v>73</v>
      </c>
      <c r="G144" s="26">
        <f t="shared" si="6"/>
        <v>20034.790516445166</v>
      </c>
      <c r="H144" s="25"/>
      <c r="I144" s="25">
        <f>B144</f>
        <v>73</v>
      </c>
      <c r="J144" s="26">
        <f t="shared" si="8"/>
        <v>3828.859892665847</v>
      </c>
      <c r="K144" s="25"/>
      <c r="L144" s="25">
        <f t="shared" si="9"/>
        <v>73</v>
      </c>
      <c r="M144" s="38">
        <f t="shared" si="2"/>
        <v>0.320095860277146</v>
      </c>
      <c r="N144" s="38">
        <f t="shared" si="3"/>
        <v>0.07</v>
      </c>
      <c r="O144" s="38">
        <f t="shared" si="4"/>
        <v>0.05</v>
      </c>
      <c r="P144" s="36"/>
      <c r="Q144" s="7"/>
      <c r="R144" s="7"/>
      <c r="S144" s="7"/>
      <c r="T144" s="7"/>
      <c r="U144" s="7"/>
    </row>
    <row r="145" spans="1:21" ht="15">
      <c r="A145" s="37"/>
      <c r="B145" s="25">
        <f t="shared" si="10"/>
        <v>74</v>
      </c>
      <c r="C145" s="26">
        <f t="shared" si="0"/>
        <v>163303.41729348077</v>
      </c>
      <c r="D145" s="26">
        <f t="shared" si="1"/>
        <v>141022.42597339035</v>
      </c>
      <c r="E145" s="25"/>
      <c r="F145" s="25">
        <f>B145</f>
        <v>74</v>
      </c>
      <c r="G145" s="26">
        <f t="shared" si="6"/>
        <v>7890.51168027367</v>
      </c>
      <c r="H145" s="25"/>
      <c r="I145" s="25">
        <f>B145</f>
        <v>74</v>
      </c>
      <c r="J145" s="26">
        <f t="shared" si="8"/>
        <v>11008.414387364046</v>
      </c>
      <c r="K145" s="25"/>
      <c r="L145" s="25">
        <f t="shared" si="9"/>
        <v>74</v>
      </c>
      <c r="M145" s="38">
        <f t="shared" si="2"/>
        <v>0.32169633957853166</v>
      </c>
      <c r="N145" s="38">
        <f t="shared" si="3"/>
        <v>0.07</v>
      </c>
      <c r="O145" s="38">
        <f t="shared" si="4"/>
        <v>0.05</v>
      </c>
      <c r="P145" s="36"/>
      <c r="Q145" s="7"/>
      <c r="R145" s="7"/>
      <c r="S145" s="7"/>
      <c r="T145" s="7"/>
      <c r="U145" s="7"/>
    </row>
    <row r="146" spans="1:21" ht="15">
      <c r="A146" s="37"/>
      <c r="B146" s="25">
        <f t="shared" si="10"/>
        <v>75</v>
      </c>
      <c r="C146" s="26">
        <f t="shared" si="0"/>
        <v>165093.44443156914</v>
      </c>
      <c r="D146" s="26">
        <f t="shared" si="1"/>
        <v>140575.30721256827</v>
      </c>
      <c r="E146" s="25"/>
      <c r="F146" s="25">
        <f>B146</f>
        <v>75</v>
      </c>
      <c r="G146" s="26">
        <f t="shared" si="6"/>
        <v>21839.871065224506</v>
      </c>
      <c r="H146" s="25"/>
      <c r="I146" s="25">
        <f>B146</f>
        <v>75</v>
      </c>
      <c r="J146" s="26">
        <f t="shared" si="8"/>
        <v>17042.443728630213</v>
      </c>
      <c r="K146" s="25"/>
      <c r="L146" s="25">
        <f t="shared" si="9"/>
        <v>75</v>
      </c>
      <c r="M146" s="38">
        <f t="shared" si="2"/>
        <v>0.32330482127642424</v>
      </c>
      <c r="N146" s="38">
        <f t="shared" si="3"/>
        <v>0.07</v>
      </c>
      <c r="O146" s="38">
        <f t="shared" si="4"/>
        <v>0.05</v>
      </c>
      <c r="P146" s="36"/>
      <c r="Q146" s="7"/>
      <c r="R146" s="7"/>
      <c r="S146" s="7"/>
      <c r="T146" s="7"/>
      <c r="U146" s="7"/>
    </row>
    <row r="147" spans="1:21" ht="15">
      <c r="A147" s="37"/>
      <c r="B147" s="25">
        <f t="shared" si="10"/>
        <v>76</v>
      </c>
      <c r="C147" s="26">
        <f t="shared" si="0"/>
        <v>166434.65047044013</v>
      </c>
      <c r="D147" s="26">
        <f t="shared" si="1"/>
        <v>140049.56717102998</v>
      </c>
      <c r="E147" s="25"/>
      <c r="F147" s="25">
        <f>B147</f>
        <v>76</v>
      </c>
      <c r="G147" s="26">
        <f t="shared" si="6"/>
        <v>8348.315484932376</v>
      </c>
      <c r="H147" s="25"/>
      <c r="I147" s="25">
        <f>B147</f>
        <v>76</v>
      </c>
      <c r="J147" s="26">
        <f t="shared" si="8"/>
        <v>16482.917971167873</v>
      </c>
      <c r="K147" s="25"/>
      <c r="L147" s="25">
        <f t="shared" si="9"/>
        <v>76</v>
      </c>
      <c r="M147" s="38">
        <f t="shared" si="2"/>
        <v>0.3249213453828063</v>
      </c>
      <c r="N147" s="38">
        <f t="shared" si="3"/>
        <v>0.07</v>
      </c>
      <c r="O147" s="38">
        <f t="shared" si="4"/>
        <v>0.05</v>
      </c>
      <c r="P147" s="36"/>
      <c r="Q147" s="7"/>
      <c r="R147" s="7"/>
      <c r="S147" s="7"/>
      <c r="T147" s="7"/>
      <c r="U147" s="7"/>
    </row>
    <row r="148" spans="1:21" ht="15">
      <c r="A148" s="37"/>
      <c r="B148" s="25">
        <f t="shared" si="10"/>
        <v>77</v>
      </c>
      <c r="C148" s="26">
        <f t="shared" si="0"/>
        <v>167215.2290516586</v>
      </c>
      <c r="D148" s="26">
        <f t="shared" si="1"/>
        <v>138481.35190334063</v>
      </c>
      <c r="E148" s="25"/>
      <c r="F148" s="25">
        <f aca="true" t="shared" si="11" ref="F148:F197">B148</f>
        <v>77</v>
      </c>
      <c r="G148" s="26">
        <f t="shared" si="6"/>
        <v>8862.209433415243</v>
      </c>
      <c r="H148" s="25"/>
      <c r="I148" s="25">
        <f aca="true" t="shared" si="12" ref="I148:I197">B148</f>
        <v>77</v>
      </c>
      <c r="J148" s="26">
        <f t="shared" si="8"/>
        <v>10213.128041356213</v>
      </c>
      <c r="K148" s="25"/>
      <c r="L148" s="25">
        <f t="shared" si="9"/>
        <v>77</v>
      </c>
      <c r="M148" s="38">
        <f t="shared" si="2"/>
        <v>0.32654595210972037</v>
      </c>
      <c r="N148" s="38">
        <f t="shared" si="3"/>
        <v>0.07</v>
      </c>
      <c r="O148" s="38">
        <f t="shared" si="4"/>
        <v>0.05</v>
      </c>
      <c r="P148" s="36"/>
      <c r="Q148" s="7"/>
      <c r="R148" s="7"/>
      <c r="S148" s="7"/>
      <c r="T148" s="7"/>
      <c r="U148" s="7"/>
    </row>
    <row r="149" spans="1:21" ht="15">
      <c r="A149" s="37"/>
      <c r="B149" s="25">
        <f t="shared" si="10"/>
        <v>78</v>
      </c>
      <c r="C149" s="26">
        <f t="shared" si="0"/>
        <v>167452.08252410192</v>
      </c>
      <c r="D149" s="26">
        <f t="shared" si="1"/>
        <v>136356.76795417749</v>
      </c>
      <c r="E149" s="25"/>
      <c r="F149" s="25">
        <f t="shared" si="11"/>
        <v>78</v>
      </c>
      <c r="G149" s="26">
        <f t="shared" si="6"/>
        <v>25045.590611416726</v>
      </c>
      <c r="H149" s="25"/>
      <c r="I149" s="25">
        <f t="shared" si="12"/>
        <v>78</v>
      </c>
      <c r="J149" s="26">
        <f t="shared" si="8"/>
        <v>4738.073855804745</v>
      </c>
      <c r="K149" s="25"/>
      <c r="L149" s="25">
        <f t="shared" si="9"/>
        <v>78</v>
      </c>
      <c r="M149" s="38">
        <f t="shared" si="2"/>
        <v>0.32817868187026883</v>
      </c>
      <c r="N149" s="38">
        <f t="shared" si="3"/>
        <v>0.07</v>
      </c>
      <c r="O149" s="38">
        <f t="shared" si="4"/>
        <v>0.05</v>
      </c>
      <c r="P149" s="36"/>
      <c r="Q149" s="7"/>
      <c r="R149" s="7"/>
      <c r="S149" s="7"/>
      <c r="T149" s="7"/>
      <c r="U149" s="7"/>
    </row>
    <row r="150" spans="1:21" ht="15">
      <c r="A150" s="37"/>
      <c r="B150" s="25">
        <f t="shared" si="10"/>
        <v>79</v>
      </c>
      <c r="C150" s="26">
        <f t="shared" si="0"/>
        <v>167224.28367403403</v>
      </c>
      <c r="D150" s="26">
        <f t="shared" si="1"/>
        <v>134051.88237638128</v>
      </c>
      <c r="E150" s="25"/>
      <c r="F150" s="25">
        <f t="shared" si="11"/>
        <v>79</v>
      </c>
      <c r="G150" s="26">
        <f t="shared" si="6"/>
        <v>9198.248399121574</v>
      </c>
      <c r="H150" s="25"/>
      <c r="I150" s="25">
        <f t="shared" si="12"/>
        <v>79</v>
      </c>
      <c r="J150" s="26">
        <f t="shared" si="8"/>
        <v>5967.364064080177</v>
      </c>
      <c r="K150" s="25"/>
      <c r="L150" s="25">
        <f t="shared" si="9"/>
        <v>79</v>
      </c>
      <c r="M150" s="38">
        <f t="shared" si="2"/>
        <v>0.3298195752796202</v>
      </c>
      <c r="N150" s="38">
        <f t="shared" si="3"/>
        <v>0.07</v>
      </c>
      <c r="O150" s="38">
        <f t="shared" si="4"/>
        <v>0.05</v>
      </c>
      <c r="P150" s="36"/>
      <c r="Q150" s="7"/>
      <c r="R150" s="7"/>
      <c r="S150" s="7"/>
      <c r="T150" s="7"/>
      <c r="U150" s="7"/>
    </row>
    <row r="151" spans="1:21" ht="15">
      <c r="A151" s="37"/>
      <c r="B151" s="25">
        <f t="shared" si="10"/>
        <v>80</v>
      </c>
      <c r="C151" s="26">
        <f t="shared" si="0"/>
        <v>166538.1721192449</v>
      </c>
      <c r="D151" s="26">
        <f t="shared" si="1"/>
        <v>130421.4134543565</v>
      </c>
      <c r="E151" s="25"/>
      <c r="F151" s="25">
        <f t="shared" si="11"/>
        <v>80</v>
      </c>
      <c r="G151" s="26">
        <f t="shared" si="6"/>
        <v>26989.39768058538</v>
      </c>
      <c r="H151" s="25"/>
      <c r="I151" s="25">
        <f t="shared" si="12"/>
        <v>80</v>
      </c>
      <c r="J151" s="26">
        <f t="shared" si="8"/>
        <v>13430.617734562924</v>
      </c>
      <c r="K151" s="25"/>
      <c r="L151" s="25">
        <f t="shared" si="9"/>
        <v>80</v>
      </c>
      <c r="M151" s="38">
        <f t="shared" si="2"/>
        <v>0.33146867315601825</v>
      </c>
      <c r="N151" s="38">
        <f t="shared" si="3"/>
        <v>0.07</v>
      </c>
      <c r="O151" s="38">
        <f t="shared" si="4"/>
        <v>0.05</v>
      </c>
      <c r="P151" s="36"/>
      <c r="Q151" s="7"/>
      <c r="R151" s="7"/>
      <c r="S151" s="7"/>
      <c r="T151" s="7"/>
      <c r="U151" s="7"/>
    </row>
    <row r="152" spans="1:21" ht="15">
      <c r="A152" s="37"/>
      <c r="B152" s="25">
        <f t="shared" si="10"/>
        <v>81</v>
      </c>
      <c r="C152" s="26">
        <f t="shared" si="0"/>
        <v>165253.78547212185</v>
      </c>
      <c r="D152" s="26">
        <f t="shared" si="1"/>
        <v>126519.28949303603</v>
      </c>
      <c r="E152" s="25"/>
      <c r="F152" s="25">
        <f t="shared" si="11"/>
        <v>81</v>
      </c>
      <c r="G152" s="26">
        <f t="shared" si="6"/>
        <v>9342.755740670147</v>
      </c>
      <c r="H152" s="25"/>
      <c r="I152" s="25">
        <f t="shared" si="12"/>
        <v>81</v>
      </c>
      <c r="J152" s="26">
        <f t="shared" si="8"/>
        <v>20586.350581630853</v>
      </c>
      <c r="K152" s="25"/>
      <c r="L152" s="25">
        <f t="shared" si="9"/>
        <v>81</v>
      </c>
      <c r="M152" s="38">
        <f t="shared" si="2"/>
        <v>0.33312601652179824</v>
      </c>
      <c r="N152" s="38">
        <f t="shared" si="3"/>
        <v>0.07</v>
      </c>
      <c r="O152" s="38">
        <f t="shared" si="4"/>
        <v>0.05</v>
      </c>
      <c r="P152" s="36"/>
      <c r="Q152" s="7"/>
      <c r="R152" s="7"/>
      <c r="S152" s="7"/>
      <c r="T152" s="7"/>
      <c r="U152" s="7"/>
    </row>
    <row r="153" spans="1:21" ht="15">
      <c r="A153" s="37"/>
      <c r="B153" s="25">
        <f t="shared" si="10"/>
        <v>82</v>
      </c>
      <c r="C153" s="26">
        <f t="shared" si="0"/>
        <v>163146.5127997183</v>
      </c>
      <c r="D153" s="26">
        <f t="shared" si="1"/>
        <v>121063.58427077121</v>
      </c>
      <c r="E153" s="25"/>
      <c r="F153" s="25">
        <f t="shared" si="11"/>
        <v>82</v>
      </c>
      <c r="G153" s="26">
        <f t="shared" si="6"/>
        <v>28948.135837199487</v>
      </c>
      <c r="H153" s="25"/>
      <c r="I153" s="25">
        <f t="shared" si="12"/>
        <v>82</v>
      </c>
      <c r="J153" s="26">
        <f t="shared" si="8"/>
        <v>21068.764462542644</v>
      </c>
      <c r="K153" s="25"/>
      <c r="L153" s="25">
        <f t="shared" si="9"/>
        <v>82</v>
      </c>
      <c r="M153" s="38">
        <f t="shared" si="2"/>
        <v>0.3347916466044072</v>
      </c>
      <c r="N153" s="38">
        <f t="shared" si="3"/>
        <v>0.07</v>
      </c>
      <c r="O153" s="38">
        <f t="shared" si="4"/>
        <v>0.05</v>
      </c>
      <c r="P153" s="36"/>
      <c r="Q153" s="7"/>
      <c r="R153" s="7"/>
      <c r="S153" s="7"/>
      <c r="T153" s="7"/>
      <c r="U153" s="7"/>
    </row>
    <row r="154" spans="1:21" ht="15">
      <c r="A154" s="37"/>
      <c r="B154" s="25">
        <f t="shared" si="10"/>
        <v>83</v>
      </c>
      <c r="C154" s="26">
        <f t="shared" si="0"/>
        <v>160047.559694119</v>
      </c>
      <c r="D154" s="26">
        <f t="shared" si="1"/>
        <v>115230.96695211729</v>
      </c>
      <c r="E154" s="25"/>
      <c r="F154" s="25">
        <f t="shared" si="11"/>
        <v>83</v>
      </c>
      <c r="G154" s="26">
        <f t="shared" si="6"/>
        <v>29300.24090742747</v>
      </c>
      <c r="H154" s="25"/>
      <c r="I154" s="25">
        <f t="shared" si="12"/>
        <v>83</v>
      </c>
      <c r="J154" s="26">
        <f t="shared" si="8"/>
        <v>14911.742778384785</v>
      </c>
      <c r="K154" s="25"/>
      <c r="L154" s="25">
        <f t="shared" si="9"/>
        <v>83</v>
      </c>
      <c r="M154" s="38">
        <f t="shared" si="2"/>
        <v>0.33646560483742916</v>
      </c>
      <c r="N154" s="38">
        <f t="shared" si="3"/>
        <v>0.07</v>
      </c>
      <c r="O154" s="38">
        <f t="shared" si="4"/>
        <v>0.05</v>
      </c>
      <c r="P154" s="36"/>
      <c r="Q154" s="7"/>
      <c r="R154" s="7"/>
      <c r="S154" s="7"/>
      <c r="T154" s="7"/>
      <c r="U154" s="7"/>
    </row>
    <row r="155" spans="1:21" ht="15">
      <c r="A155" s="37"/>
      <c r="B155" s="25">
        <f t="shared" si="10"/>
        <v>84</v>
      </c>
      <c r="C155" s="26">
        <f t="shared" si="0"/>
        <v>155927.4468955787</v>
      </c>
      <c r="D155" s="26">
        <f t="shared" si="1"/>
        <v>108152.17239199107</v>
      </c>
      <c r="E155" s="25"/>
      <c r="F155" s="25">
        <f t="shared" si="11"/>
        <v>84</v>
      </c>
      <c r="G155" s="26">
        <f t="shared" si="6"/>
        <v>8478.400384928313</v>
      </c>
      <c r="H155" s="25"/>
      <c r="I155" s="25">
        <f t="shared" si="12"/>
        <v>84</v>
      </c>
      <c r="J155" s="26">
        <f t="shared" si="8"/>
        <v>8668.602555719672</v>
      </c>
      <c r="K155" s="25"/>
      <c r="L155" s="25">
        <f t="shared" si="9"/>
        <v>84</v>
      </c>
      <c r="M155" s="38">
        <f t="shared" si="2"/>
        <v>0.3381479328616163</v>
      </c>
      <c r="N155" s="38">
        <f t="shared" si="3"/>
        <v>0.07</v>
      </c>
      <c r="O155" s="38">
        <f t="shared" si="4"/>
        <v>0.05</v>
      </c>
      <c r="P155" s="36"/>
      <c r="Q155" s="7"/>
      <c r="R155" s="7"/>
      <c r="S155" s="7"/>
      <c r="T155" s="7"/>
      <c r="U155" s="7"/>
    </row>
    <row r="156" spans="1:21" ht="15">
      <c r="A156" s="37"/>
      <c r="B156" s="25">
        <f t="shared" si="10"/>
        <v>85</v>
      </c>
      <c r="C156" s="26">
        <f t="shared" si="0"/>
        <v>150838.0395171593</v>
      </c>
      <c r="D156" s="26">
        <f t="shared" si="1"/>
        <v>99106.95159308924</v>
      </c>
      <c r="E156" s="25"/>
      <c r="F156" s="25">
        <f t="shared" si="11"/>
        <v>85</v>
      </c>
      <c r="G156" s="26">
        <f t="shared" si="6"/>
        <v>31042.93225856589</v>
      </c>
      <c r="H156" s="25"/>
      <c r="I156" s="25">
        <f t="shared" si="12"/>
        <v>85</v>
      </c>
      <c r="J156" s="26">
        <f t="shared" si="8"/>
        <v>9165.192936120466</v>
      </c>
      <c r="K156" s="25"/>
      <c r="L156" s="25">
        <f t="shared" si="9"/>
        <v>85</v>
      </c>
      <c r="M156" s="38">
        <f t="shared" si="2"/>
        <v>0.3398386725259243</v>
      </c>
      <c r="N156" s="38">
        <f t="shared" si="3"/>
        <v>0.07</v>
      </c>
      <c r="O156" s="38">
        <f t="shared" si="4"/>
        <v>0.05</v>
      </c>
      <c r="P156" s="36"/>
      <c r="Q156" s="7"/>
      <c r="R156" s="7"/>
      <c r="S156" s="7"/>
      <c r="T156" s="7"/>
      <c r="U156" s="7"/>
    </row>
    <row r="157" spans="1:21" ht="15">
      <c r="A157" s="37"/>
      <c r="B157" s="25">
        <f t="shared" si="10"/>
        <v>86</v>
      </c>
      <c r="C157" s="26">
        <f t="shared" si="0"/>
        <v>144764.63560627462</v>
      </c>
      <c r="D157" s="26">
        <f t="shared" si="1"/>
        <v>89484.10354252711</v>
      </c>
      <c r="E157" s="25"/>
      <c r="F157" s="25">
        <f t="shared" si="11"/>
        <v>86</v>
      </c>
      <c r="G157" s="26">
        <f t="shared" si="6"/>
        <v>7726.129781348513</v>
      </c>
      <c r="H157" s="25"/>
      <c r="I157" s="25">
        <f t="shared" si="12"/>
        <v>86</v>
      </c>
      <c r="J157" s="26">
        <f t="shared" si="8"/>
        <v>16839.081457588927</v>
      </c>
      <c r="K157" s="25"/>
      <c r="L157" s="25">
        <f t="shared" si="9"/>
        <v>86</v>
      </c>
      <c r="M157" s="38">
        <f t="shared" si="2"/>
        <v>0.3415378658885539</v>
      </c>
      <c r="N157" s="38">
        <f t="shared" si="3"/>
        <v>0.07</v>
      </c>
      <c r="O157" s="38">
        <f t="shared" si="4"/>
        <v>0.05</v>
      </c>
      <c r="P157" s="36"/>
      <c r="Q157" s="7"/>
      <c r="R157" s="7"/>
      <c r="S157" s="7"/>
      <c r="T157" s="7"/>
      <c r="U157" s="7"/>
    </row>
    <row r="158" spans="1:21" ht="15">
      <c r="A158" s="37"/>
      <c r="B158" s="25">
        <f t="shared" si="10"/>
        <v>87</v>
      </c>
      <c r="C158" s="26">
        <f t="shared" si="0"/>
        <v>137529.69730550915</v>
      </c>
      <c r="D158" s="26">
        <f t="shared" si="1"/>
        <v>77578.53914283219</v>
      </c>
      <c r="E158" s="25"/>
      <c r="F158" s="25">
        <f t="shared" si="11"/>
        <v>87</v>
      </c>
      <c r="G158" s="26">
        <f t="shared" si="6"/>
        <v>32567.588588822702</v>
      </c>
      <c r="H158" s="25"/>
      <c r="I158" s="25">
        <f t="shared" si="12"/>
        <v>87</v>
      </c>
      <c r="J158" s="26">
        <f t="shared" si="8"/>
        <v>25163.909147821367</v>
      </c>
      <c r="K158" s="25"/>
      <c r="L158" s="25">
        <f t="shared" si="9"/>
        <v>87</v>
      </c>
      <c r="M158" s="38">
        <f t="shared" si="2"/>
        <v>0.34324555521799666</v>
      </c>
      <c r="N158" s="38">
        <f t="shared" si="3"/>
        <v>0.07</v>
      </c>
      <c r="O158" s="38">
        <f t="shared" si="4"/>
        <v>0.05</v>
      </c>
      <c r="P158" s="36"/>
      <c r="Q158" s="7"/>
      <c r="R158" s="7"/>
      <c r="S158" s="7"/>
      <c r="T158" s="7"/>
      <c r="U158" s="7"/>
    </row>
    <row r="159" spans="1:21" ht="15">
      <c r="A159" s="37"/>
      <c r="B159" s="25">
        <f t="shared" si="10"/>
        <v>88</v>
      </c>
      <c r="C159" s="26">
        <f t="shared" si="0"/>
        <v>128843.83670530809</v>
      </c>
      <c r="D159" s="26">
        <f t="shared" si="1"/>
        <v>64947.190853499626</v>
      </c>
      <c r="E159" s="25"/>
      <c r="F159" s="25">
        <f t="shared" si="11"/>
        <v>88</v>
      </c>
      <c r="G159" s="26">
        <f t="shared" si="6"/>
        <v>32214.40911237813</v>
      </c>
      <c r="H159" s="25"/>
      <c r="I159" s="25">
        <f t="shared" si="12"/>
        <v>88</v>
      </c>
      <c r="J159" s="26">
        <f t="shared" si="8"/>
        <v>26865.396272769023</v>
      </c>
      <c r="K159" s="25"/>
      <c r="L159" s="25">
        <f t="shared" si="9"/>
        <v>88</v>
      </c>
      <c r="M159" s="38">
        <f t="shared" si="2"/>
        <v>0.34496178299408653</v>
      </c>
      <c r="N159" s="38">
        <f t="shared" si="3"/>
        <v>0.07</v>
      </c>
      <c r="O159" s="38">
        <f t="shared" si="4"/>
        <v>0.05</v>
      </c>
      <c r="P159" s="36"/>
      <c r="Q159" s="7"/>
      <c r="R159" s="7"/>
      <c r="S159" s="7"/>
      <c r="T159" s="7"/>
      <c r="U159" s="7"/>
    </row>
    <row r="160" spans="1:21" ht="15">
      <c r="A160" s="37"/>
      <c r="B160" s="25">
        <f t="shared" si="10"/>
        <v>89</v>
      </c>
      <c r="C160" s="26">
        <f t="shared" si="0"/>
        <v>118458.19323862152</v>
      </c>
      <c r="D160" s="26">
        <f t="shared" si="1"/>
        <v>50429.01083718005</v>
      </c>
      <c r="E160" s="25"/>
      <c r="F160" s="25">
        <f t="shared" si="11"/>
        <v>89</v>
      </c>
      <c r="G160" s="26">
        <f t="shared" si="6"/>
        <v>31616.26694166738</v>
      </c>
      <c r="H160" s="25"/>
      <c r="I160" s="25">
        <f t="shared" si="12"/>
        <v>89</v>
      </c>
      <c r="J160" s="26">
        <f t="shared" si="8"/>
        <v>21014.26745545445</v>
      </c>
      <c r="K160" s="25"/>
      <c r="L160" s="25">
        <f t="shared" si="9"/>
        <v>89</v>
      </c>
      <c r="M160" s="38">
        <f t="shared" si="2"/>
        <v>0.34668659190905693</v>
      </c>
      <c r="N160" s="38">
        <f t="shared" si="3"/>
        <v>0.07</v>
      </c>
      <c r="O160" s="38">
        <f t="shared" si="4"/>
        <v>0.05</v>
      </c>
      <c r="P160" s="36"/>
      <c r="Q160" s="7"/>
      <c r="R160" s="7"/>
      <c r="S160" s="7"/>
      <c r="T160" s="7"/>
      <c r="U160" s="7"/>
    </row>
    <row r="161" spans="1:21" ht="15">
      <c r="A161" s="37"/>
      <c r="B161" s="25">
        <f t="shared" si="10"/>
        <v>90</v>
      </c>
      <c r="C161" s="26">
        <f t="shared" si="0"/>
        <v>106271.11528061505</v>
      </c>
      <c r="D161" s="26">
        <f t="shared" si="1"/>
        <v>33864.967323381905</v>
      </c>
      <c r="E161" s="25"/>
      <c r="F161" s="25">
        <f t="shared" si="11"/>
        <v>90</v>
      </c>
      <c r="G161" s="26">
        <f t="shared" si="6"/>
        <v>30712.151353835037</v>
      </c>
      <c r="H161" s="25"/>
      <c r="I161" s="25">
        <f t="shared" si="12"/>
        <v>90</v>
      </c>
      <c r="J161" s="26">
        <f t="shared" si="8"/>
        <v>14084.29307107846</v>
      </c>
      <c r="K161" s="25"/>
      <c r="L161" s="25">
        <f t="shared" si="9"/>
        <v>90</v>
      </c>
      <c r="M161" s="38">
        <f t="shared" si="2"/>
        <v>0.3484200248686022</v>
      </c>
      <c r="N161" s="38">
        <f t="shared" si="3"/>
        <v>0.07</v>
      </c>
      <c r="O161" s="38">
        <f t="shared" si="4"/>
        <v>0.05</v>
      </c>
      <c r="P161" s="36"/>
      <c r="Q161" s="7"/>
      <c r="R161" s="7"/>
      <c r="S161" s="7"/>
      <c r="T161" s="7"/>
      <c r="U161" s="7"/>
    </row>
    <row r="162" spans="1:21" ht="15">
      <c r="A162" s="37"/>
      <c r="B162" s="25">
        <f t="shared" si="10"/>
        <v>91</v>
      </c>
      <c r="C162" s="26">
        <f t="shared" si="0"/>
        <v>92281.92358885612</v>
      </c>
      <c r="D162" s="26">
        <f t="shared" si="1"/>
        <v>15087.260644126934</v>
      </c>
      <c r="E162" s="25"/>
      <c r="F162" s="25">
        <f t="shared" si="11"/>
        <v>91</v>
      </c>
      <c r="G162" s="26">
        <f t="shared" si="6"/>
        <v>29890.562991245297</v>
      </c>
      <c r="H162" s="25"/>
      <c r="I162" s="25">
        <f t="shared" si="12"/>
        <v>91</v>
      </c>
      <c r="J162" s="26">
        <f t="shared" si="8"/>
        <v>13799.578254368585</v>
      </c>
      <c r="K162" s="25"/>
      <c r="L162" s="25">
        <f t="shared" si="9"/>
        <v>91</v>
      </c>
      <c r="M162" s="38">
        <f t="shared" si="2"/>
        <v>0.3501621249929451</v>
      </c>
      <c r="N162" s="38">
        <f t="shared" si="3"/>
        <v>0.07</v>
      </c>
      <c r="O162" s="38">
        <f t="shared" si="4"/>
        <v>0.05</v>
      </c>
      <c r="P162" s="36"/>
      <c r="Q162" s="7"/>
      <c r="R162" s="7"/>
      <c r="S162" s="7"/>
      <c r="T162" s="7"/>
      <c r="U162" s="7"/>
    </row>
    <row r="163" spans="1:21" ht="15">
      <c r="A163" s="37"/>
      <c r="B163" s="25">
        <f t="shared" si="10"/>
        <v>92</v>
      </c>
      <c r="C163" s="26">
        <f aca="true" t="shared" si="13" ref="C163:C194">P240*IF(B163&gt;105,0,1)</f>
        <v>76431.10721757545</v>
      </c>
      <c r="D163" s="26">
        <f aca="true" t="shared" si="14" ref="D163:D194">Y240*IF(B163&gt;105,0,1)</f>
        <v>-6066.760435345877</v>
      </c>
      <c r="E163" s="25"/>
      <c r="F163" s="25">
        <f t="shared" si="11"/>
        <v>92</v>
      </c>
      <c r="G163" s="26">
        <f t="shared" si="6"/>
        <v>0</v>
      </c>
      <c r="H163" s="25"/>
      <c r="I163" s="25">
        <f t="shared" si="12"/>
        <v>92</v>
      </c>
      <c r="J163" s="26">
        <f t="shared" si="8"/>
        <v>21616.475165010168</v>
      </c>
      <c r="K163" s="25"/>
      <c r="L163" s="25">
        <f t="shared" si="9"/>
        <v>92</v>
      </c>
      <c r="M163" s="38">
        <f aca="true" t="shared" si="15" ref="M163:M194">E240</f>
        <v>0.35191293561790976</v>
      </c>
      <c r="N163" s="38">
        <f aca="true" t="shared" si="16" ref="N163:N194">F240</f>
        <v>0.07</v>
      </c>
      <c r="O163" s="38">
        <f aca="true" t="shared" si="17" ref="O163:O194">G240</f>
        <v>0.05</v>
      </c>
      <c r="P163" s="36"/>
      <c r="Q163" s="7"/>
      <c r="R163" s="7"/>
      <c r="S163" s="7"/>
      <c r="T163" s="7"/>
      <c r="U163" s="7"/>
    </row>
    <row r="164" spans="1:21" ht="15">
      <c r="A164" s="37"/>
      <c r="B164" s="25">
        <f t="shared" si="10"/>
        <v>93</v>
      </c>
      <c r="C164" s="26">
        <f t="shared" si="13"/>
        <v>58479.15497982502</v>
      </c>
      <c r="D164" s="26">
        <f t="shared" si="14"/>
        <v>-30640.677608149235</v>
      </c>
      <c r="E164" s="25"/>
      <c r="F164" s="25">
        <f t="shared" si="11"/>
        <v>93</v>
      </c>
      <c r="G164" s="26">
        <f t="shared" si="6"/>
        <v>0</v>
      </c>
      <c r="H164" s="25"/>
      <c r="I164" s="25">
        <f t="shared" si="12"/>
        <v>93</v>
      </c>
      <c r="J164" s="26">
        <f t="shared" si="8"/>
        <v>31157.61595579</v>
      </c>
      <c r="K164" s="25"/>
      <c r="L164" s="25">
        <f t="shared" si="9"/>
        <v>93</v>
      </c>
      <c r="M164" s="38">
        <f t="shared" si="15"/>
        <v>0.3536725002959992</v>
      </c>
      <c r="N164" s="38">
        <f t="shared" si="16"/>
        <v>0.07</v>
      </c>
      <c r="O164" s="38">
        <f t="shared" si="17"/>
        <v>0.05</v>
      </c>
      <c r="P164" s="36"/>
      <c r="Q164" s="7"/>
      <c r="R164" s="7"/>
      <c r="S164" s="7"/>
      <c r="T164" s="7"/>
      <c r="U164" s="7"/>
    </row>
    <row r="165" spans="1:21" ht="15">
      <c r="A165" s="37"/>
      <c r="B165" s="25">
        <f t="shared" si="10"/>
        <v>94</v>
      </c>
      <c r="C165" s="26">
        <f t="shared" si="13"/>
        <v>38043.298756323406</v>
      </c>
      <c r="D165" s="26">
        <f t="shared" si="14"/>
        <v>-57549.98889828508</v>
      </c>
      <c r="E165" s="25"/>
      <c r="F165" s="25">
        <f t="shared" si="11"/>
        <v>94</v>
      </c>
      <c r="G165" s="26">
        <f t="shared" si="6"/>
        <v>0</v>
      </c>
      <c r="H165" s="25"/>
      <c r="I165" s="25">
        <f t="shared" si="12"/>
        <v>94</v>
      </c>
      <c r="J165" s="26">
        <f t="shared" si="8"/>
        <v>34267.72701989049</v>
      </c>
      <c r="K165" s="25"/>
      <c r="L165" s="25">
        <f t="shared" si="9"/>
        <v>94</v>
      </c>
      <c r="M165" s="38">
        <f t="shared" si="15"/>
        <v>0.3554408627974792</v>
      </c>
      <c r="N165" s="38">
        <f t="shared" si="16"/>
        <v>0.07</v>
      </c>
      <c r="O165" s="38">
        <f t="shared" si="17"/>
        <v>0.05</v>
      </c>
      <c r="P165" s="36"/>
      <c r="Q165" s="7"/>
      <c r="R165" s="7"/>
      <c r="S165" s="7"/>
      <c r="T165" s="7"/>
      <c r="U165" s="7"/>
    </row>
    <row r="166" spans="1:21" ht="15">
      <c r="A166" s="37"/>
      <c r="B166" s="25">
        <f t="shared" si="10"/>
        <v>95</v>
      </c>
      <c r="C166" s="26">
        <f t="shared" si="13"/>
        <v>14760.173088601427</v>
      </c>
      <c r="D166" s="26">
        <f t="shared" si="14"/>
        <v>-86955.88402277543</v>
      </c>
      <c r="E166" s="25"/>
      <c r="F166" s="25">
        <f t="shared" si="11"/>
        <v>95</v>
      </c>
      <c r="G166" s="26">
        <f t="shared" si="6"/>
        <v>0</v>
      </c>
      <c r="H166" s="25"/>
      <c r="I166" s="25">
        <f t="shared" si="12"/>
        <v>95</v>
      </c>
      <c r="J166" s="26">
        <f t="shared" si="8"/>
        <v>28947.732469129536</v>
      </c>
      <c r="K166" s="25"/>
      <c r="L166" s="25">
        <f t="shared" si="9"/>
        <v>95</v>
      </c>
      <c r="M166" s="38">
        <f t="shared" si="15"/>
        <v>0.3572180671114666</v>
      </c>
      <c r="N166" s="38">
        <f t="shared" si="16"/>
        <v>0.07</v>
      </c>
      <c r="O166" s="38">
        <f t="shared" si="17"/>
        <v>0.05</v>
      </c>
      <c r="P166" s="36"/>
      <c r="Q166" s="7"/>
      <c r="R166" s="7"/>
      <c r="S166" s="7"/>
      <c r="T166" s="7"/>
      <c r="U166" s="7"/>
    </row>
    <row r="167" spans="1:21" ht="15">
      <c r="A167" s="37"/>
      <c r="B167" s="25">
        <f t="shared" si="10"/>
        <v>96</v>
      </c>
      <c r="C167" s="26">
        <f t="shared" si="13"/>
        <v>-11582.520990824927</v>
      </c>
      <c r="D167" s="26">
        <f t="shared" si="14"/>
        <v>-119029.03297466927</v>
      </c>
      <c r="E167" s="25"/>
      <c r="F167" s="25">
        <f t="shared" si="11"/>
        <v>96</v>
      </c>
      <c r="G167" s="26">
        <f t="shared" si="6"/>
        <v>0</v>
      </c>
      <c r="H167" s="25"/>
      <c r="I167" s="25">
        <f t="shared" si="12"/>
        <v>96</v>
      </c>
      <c r="J167" s="26">
        <f t="shared" si="8"/>
        <v>21453.13285704657</v>
      </c>
      <c r="K167" s="25"/>
      <c r="L167" s="25">
        <f t="shared" si="9"/>
        <v>96</v>
      </c>
      <c r="M167" s="38">
        <f t="shared" si="15"/>
        <v>0.3590041574470238</v>
      </c>
      <c r="N167" s="38">
        <f t="shared" si="16"/>
        <v>0.07</v>
      </c>
      <c r="O167" s="38">
        <f t="shared" si="17"/>
        <v>0.05</v>
      </c>
      <c r="P167" s="36"/>
      <c r="Q167" s="7"/>
      <c r="R167" s="7"/>
      <c r="S167" s="7"/>
      <c r="T167" s="7"/>
      <c r="U167" s="7"/>
    </row>
    <row r="168" spans="1:21" ht="15">
      <c r="A168" s="37"/>
      <c r="B168" s="25">
        <f t="shared" si="10"/>
        <v>97</v>
      </c>
      <c r="C168" s="26">
        <f t="shared" si="13"/>
        <v>-41077.13605216991</v>
      </c>
      <c r="D168" s="26">
        <f t="shared" si="14"/>
        <v>-153950.08250530213</v>
      </c>
      <c r="E168" s="25"/>
      <c r="F168" s="25">
        <f t="shared" si="11"/>
        <v>97</v>
      </c>
      <c r="G168" s="26">
        <f t="shared" si="6"/>
        <v>0</v>
      </c>
      <c r="H168" s="25"/>
      <c r="I168" s="25">
        <f t="shared" si="12"/>
        <v>97</v>
      </c>
      <c r="J168" s="26">
        <f t="shared" si="8"/>
        <v>20369.855247119216</v>
      </c>
      <c r="K168" s="25"/>
      <c r="L168" s="25">
        <f t="shared" si="9"/>
        <v>97</v>
      </c>
      <c r="M168" s="38">
        <f t="shared" si="15"/>
        <v>0.36079917823425883</v>
      </c>
      <c r="N168" s="38">
        <f t="shared" si="16"/>
        <v>0.07</v>
      </c>
      <c r="O168" s="38">
        <f t="shared" si="17"/>
        <v>0.05</v>
      </c>
      <c r="P168" s="36"/>
      <c r="Q168" s="7"/>
      <c r="R168" s="7"/>
      <c r="S168" s="7"/>
      <c r="T168" s="7"/>
      <c r="U168" s="7"/>
    </row>
    <row r="169" spans="1:21" ht="15">
      <c r="A169" s="37"/>
      <c r="B169" s="25">
        <f t="shared" si="10"/>
        <v>98</v>
      </c>
      <c r="C169" s="26">
        <f t="shared" si="13"/>
        <v>-73866.25862261791</v>
      </c>
      <c r="D169" s="26">
        <f t="shared" si="14"/>
        <v>-191910.17606179303</v>
      </c>
      <c r="E169" s="25"/>
      <c r="F169" s="25">
        <f t="shared" si="11"/>
        <v>98</v>
      </c>
      <c r="G169" s="26">
        <f t="shared" si="6"/>
        <v>0</v>
      </c>
      <c r="H169" s="25"/>
      <c r="I169" s="25">
        <f t="shared" si="12"/>
        <v>98</v>
      </c>
      <c r="J169" s="26">
        <f t="shared" si="8"/>
        <v>28275.591199361595</v>
      </c>
      <c r="K169" s="25"/>
      <c r="L169" s="25">
        <f t="shared" si="9"/>
        <v>98</v>
      </c>
      <c r="M169" s="38">
        <f t="shared" si="15"/>
        <v>0.36260317412543014</v>
      </c>
      <c r="N169" s="38">
        <f t="shared" si="16"/>
        <v>0.07</v>
      </c>
      <c r="O169" s="38">
        <f t="shared" si="17"/>
        <v>0.05</v>
      </c>
      <c r="P169" s="36"/>
      <c r="Q169" s="7"/>
      <c r="R169" s="7"/>
      <c r="S169" s="7"/>
      <c r="T169" s="7"/>
      <c r="U169" s="7"/>
    </row>
    <row r="170" spans="1:21" ht="15">
      <c r="A170" s="37"/>
      <c r="B170" s="25">
        <f t="shared" si="10"/>
        <v>99</v>
      </c>
      <c r="C170" s="26">
        <f t="shared" si="13"/>
        <v>-110290.84217617531</v>
      </c>
      <c r="D170" s="26">
        <f t="shared" si="14"/>
        <v>-233111.49818047165</v>
      </c>
      <c r="E170" s="25"/>
      <c r="F170" s="25">
        <f t="shared" si="11"/>
        <v>99</v>
      </c>
      <c r="G170" s="26">
        <f t="shared" si="6"/>
        <v>0</v>
      </c>
      <c r="H170" s="25"/>
      <c r="I170" s="25">
        <f t="shared" si="12"/>
        <v>99</v>
      </c>
      <c r="J170" s="26">
        <f t="shared" si="8"/>
        <v>39085.805449344625</v>
      </c>
      <c r="K170" s="25"/>
      <c r="L170" s="25">
        <f t="shared" si="9"/>
        <v>99</v>
      </c>
      <c r="M170" s="38">
        <f t="shared" si="15"/>
        <v>0.36441618999605724</v>
      </c>
      <c r="N170" s="38">
        <f t="shared" si="16"/>
        <v>0.07</v>
      </c>
      <c r="O170" s="38">
        <f t="shared" si="17"/>
        <v>0.05</v>
      </c>
      <c r="P170" s="36"/>
      <c r="Q170" s="7"/>
      <c r="R170" s="7"/>
      <c r="S170" s="7"/>
      <c r="T170" s="7"/>
      <c r="U170" s="7"/>
    </row>
    <row r="171" spans="1:21" ht="15">
      <c r="A171" s="37"/>
      <c r="B171" s="25">
        <f t="shared" si="10"/>
        <v>100</v>
      </c>
      <c r="C171" s="26">
        <f t="shared" si="13"/>
        <v>-150871.61745591793</v>
      </c>
      <c r="D171" s="26">
        <f t="shared" si="14"/>
        <v>-277767.8443754861</v>
      </c>
      <c r="E171" s="25"/>
      <c r="F171" s="25">
        <f t="shared" si="11"/>
        <v>100</v>
      </c>
      <c r="G171" s="26">
        <f t="shared" si="6"/>
        <v>0</v>
      </c>
      <c r="H171" s="25"/>
      <c r="I171" s="25">
        <f t="shared" si="12"/>
        <v>100</v>
      </c>
      <c r="J171" s="26">
        <f t="shared" si="8"/>
        <v>43810.520389433645</v>
      </c>
      <c r="K171" s="25"/>
      <c r="L171" s="25">
        <f t="shared" si="9"/>
        <v>100</v>
      </c>
      <c r="M171" s="38">
        <f t="shared" si="15"/>
        <v>0.3662382709460375</v>
      </c>
      <c r="N171" s="38">
        <f t="shared" si="16"/>
        <v>0.07</v>
      </c>
      <c r="O171" s="38">
        <f t="shared" si="17"/>
        <v>0.05</v>
      </c>
      <c r="P171" s="36"/>
      <c r="Q171" s="7"/>
      <c r="R171" s="7"/>
      <c r="S171" s="7"/>
      <c r="T171" s="7"/>
      <c r="U171" s="7"/>
    </row>
    <row r="172" spans="1:21" ht="15">
      <c r="A172" s="37"/>
      <c r="B172" s="25">
        <f t="shared" si="10"/>
        <v>101</v>
      </c>
      <c r="C172" s="26">
        <f t="shared" si="13"/>
        <v>-196138.3432617775</v>
      </c>
      <c r="D172" s="26">
        <f t="shared" si="14"/>
        <v>-326105.21760177554</v>
      </c>
      <c r="E172" s="25"/>
      <c r="F172" s="25">
        <f t="shared" si="11"/>
        <v>101</v>
      </c>
      <c r="G172" s="26">
        <f t="shared" si="6"/>
        <v>0</v>
      </c>
      <c r="H172" s="25"/>
      <c r="I172" s="25">
        <f t="shared" si="12"/>
        <v>101</v>
      </c>
      <c r="J172" s="26">
        <f t="shared" si="8"/>
        <v>39283.864504032645</v>
      </c>
      <c r="K172" s="25"/>
      <c r="L172" s="25">
        <f t="shared" si="9"/>
        <v>101</v>
      </c>
      <c r="M172" s="38">
        <f t="shared" si="15"/>
        <v>0.3680694623007676</v>
      </c>
      <c r="N172" s="38">
        <f t="shared" si="16"/>
        <v>0.07</v>
      </c>
      <c r="O172" s="38">
        <f t="shared" si="17"/>
        <v>0.05</v>
      </c>
      <c r="P172" s="36"/>
      <c r="Q172" s="7"/>
      <c r="R172" s="7"/>
      <c r="S172" s="7"/>
      <c r="T172" s="7"/>
      <c r="U172" s="7"/>
    </row>
    <row r="173" spans="1:21" ht="15">
      <c r="A173" s="37"/>
      <c r="B173" s="25">
        <f t="shared" si="10"/>
        <v>102</v>
      </c>
      <c r="C173" s="26">
        <f t="shared" si="13"/>
        <v>-246471.6868975749</v>
      </c>
      <c r="D173" s="26">
        <f t="shared" si="14"/>
        <v>-378362.452412943</v>
      </c>
      <c r="E173" s="25"/>
      <c r="F173" s="25">
        <f t="shared" si="11"/>
        <v>102</v>
      </c>
      <c r="G173" s="26">
        <f t="shared" si="6"/>
        <v>0</v>
      </c>
      <c r="H173" s="25"/>
      <c r="I173" s="25">
        <f t="shared" si="12"/>
        <v>102</v>
      </c>
      <c r="J173" s="26">
        <f t="shared" si="8"/>
        <v>31395.5590001964</v>
      </c>
      <c r="K173" s="25"/>
      <c r="L173" s="25">
        <f t="shared" si="9"/>
        <v>102</v>
      </c>
      <c r="M173" s="38">
        <f t="shared" si="15"/>
        <v>0.3699098096122714</v>
      </c>
      <c r="N173" s="38">
        <f t="shared" si="16"/>
        <v>0.07</v>
      </c>
      <c r="O173" s="38">
        <f t="shared" si="17"/>
        <v>0.05</v>
      </c>
      <c r="P173" s="36"/>
      <c r="Q173" s="7"/>
      <c r="R173" s="7"/>
      <c r="S173" s="7"/>
      <c r="T173" s="7"/>
      <c r="U173" s="7"/>
    </row>
    <row r="174" spans="1:21" ht="15">
      <c r="A174" s="37"/>
      <c r="B174" s="25">
        <f t="shared" si="10"/>
        <v>103</v>
      </c>
      <c r="C174" s="26">
        <f t="shared" si="13"/>
        <v>-302115.70046826365</v>
      </c>
      <c r="D174" s="26">
        <f t="shared" si="14"/>
        <v>-434791.86797739076</v>
      </c>
      <c r="E174" s="25"/>
      <c r="F174" s="25">
        <f t="shared" si="11"/>
        <v>103</v>
      </c>
      <c r="G174" s="26">
        <f t="shared" si="6"/>
        <v>0</v>
      </c>
      <c r="H174" s="25"/>
      <c r="I174" s="25">
        <f t="shared" si="12"/>
        <v>103</v>
      </c>
      <c r="J174" s="26">
        <f t="shared" si="8"/>
        <v>29538.1079760093</v>
      </c>
      <c r="K174" s="25"/>
      <c r="L174" s="25">
        <f t="shared" si="9"/>
        <v>103</v>
      </c>
      <c r="M174" s="38">
        <f t="shared" si="15"/>
        <v>0.3717593586603327</v>
      </c>
      <c r="N174" s="38">
        <f t="shared" si="16"/>
        <v>0.07</v>
      </c>
      <c r="O174" s="38">
        <f t="shared" si="17"/>
        <v>0.05</v>
      </c>
      <c r="P174" s="36"/>
      <c r="Q174" s="7"/>
      <c r="R174" s="7"/>
      <c r="S174" s="7"/>
      <c r="T174" s="7"/>
      <c r="U174" s="7"/>
    </row>
    <row r="175" spans="1:21" ht="15">
      <c r="A175" s="37"/>
      <c r="B175" s="25">
        <f t="shared" si="10"/>
        <v>104</v>
      </c>
      <c r="C175" s="26">
        <f t="shared" si="13"/>
        <v>-363356.47120645</v>
      </c>
      <c r="D175" s="26">
        <f t="shared" si="14"/>
        <v>-495659.9511604354</v>
      </c>
      <c r="E175" s="25"/>
      <c r="F175" s="25">
        <f t="shared" si="11"/>
        <v>104</v>
      </c>
      <c r="G175" s="26">
        <f t="shared" si="6"/>
        <v>0</v>
      </c>
      <c r="H175" s="25"/>
      <c r="I175" s="25">
        <f t="shared" si="12"/>
        <v>104</v>
      </c>
      <c r="J175" s="26">
        <f t="shared" si="8"/>
        <v>37502.36745698519</v>
      </c>
      <c r="K175" s="25"/>
      <c r="L175" s="25">
        <f t="shared" si="9"/>
        <v>104</v>
      </c>
      <c r="M175" s="38">
        <f t="shared" si="15"/>
        <v>0.3736181554536343</v>
      </c>
      <c r="N175" s="38">
        <f t="shared" si="16"/>
        <v>0.07</v>
      </c>
      <c r="O175" s="38">
        <f t="shared" si="17"/>
        <v>0.05</v>
      </c>
      <c r="P175" s="36"/>
      <c r="Q175" s="7"/>
      <c r="R175" s="7"/>
      <c r="S175" s="7"/>
      <c r="T175" s="7"/>
      <c r="U175" s="7"/>
    </row>
    <row r="176" spans="1:21" ht="15">
      <c r="A176" s="37"/>
      <c r="B176" s="25">
        <f t="shared" si="10"/>
        <v>105</v>
      </c>
      <c r="C176" s="26">
        <f t="shared" si="13"/>
        <v>-430699.12258510693</v>
      </c>
      <c r="D176" s="26">
        <f t="shared" si="14"/>
        <v>-561248.0709260582</v>
      </c>
      <c r="E176" s="25"/>
      <c r="F176" s="25">
        <f t="shared" si="11"/>
        <v>105</v>
      </c>
      <c r="G176" s="26">
        <f t="shared" si="6"/>
        <v>0</v>
      </c>
      <c r="H176" s="25"/>
      <c r="I176" s="25">
        <f t="shared" si="12"/>
        <v>105</v>
      </c>
      <c r="J176" s="26">
        <f t="shared" si="8"/>
        <v>49648.26312921245</v>
      </c>
      <c r="K176" s="25"/>
      <c r="L176" s="25">
        <f t="shared" si="9"/>
        <v>105</v>
      </c>
      <c r="M176" s="38">
        <f t="shared" si="15"/>
        <v>0.3754862462309024</v>
      </c>
      <c r="N176" s="38">
        <f t="shared" si="16"/>
        <v>0.07</v>
      </c>
      <c r="O176" s="38">
        <f t="shared" si="17"/>
        <v>0.05</v>
      </c>
      <c r="P176" s="36"/>
      <c r="Q176" s="7"/>
      <c r="R176" s="7"/>
      <c r="S176" s="7"/>
      <c r="T176" s="7"/>
      <c r="U176" s="7"/>
    </row>
    <row r="177" spans="1:21" ht="15">
      <c r="A177" s="37"/>
      <c r="B177" s="25">
        <f t="shared" si="10"/>
        <v>106</v>
      </c>
      <c r="C177" s="26">
        <f t="shared" si="13"/>
        <v>0</v>
      </c>
      <c r="D177" s="26">
        <f t="shared" si="14"/>
        <v>0</v>
      </c>
      <c r="E177" s="25"/>
      <c r="F177" s="25">
        <f t="shared" si="11"/>
        <v>106</v>
      </c>
      <c r="G177" s="26">
        <f t="shared" si="6"/>
        <v>0</v>
      </c>
      <c r="H177" s="25"/>
      <c r="I177" s="25">
        <f t="shared" si="12"/>
        <v>106</v>
      </c>
      <c r="J177" s="26">
        <f t="shared" si="8"/>
        <v>0</v>
      </c>
      <c r="K177" s="25"/>
      <c r="L177" s="25">
        <f t="shared" si="9"/>
        <v>106</v>
      </c>
      <c r="M177" s="38">
        <f t="shared" si="15"/>
        <v>0.37736367746205685</v>
      </c>
      <c r="N177" s="38">
        <f t="shared" si="16"/>
        <v>0.07</v>
      </c>
      <c r="O177" s="38">
        <f t="shared" si="17"/>
        <v>0.05</v>
      </c>
      <c r="P177" s="36"/>
      <c r="Q177" s="7"/>
      <c r="R177" s="7"/>
      <c r="S177" s="7"/>
      <c r="T177" s="7"/>
      <c r="U177" s="7"/>
    </row>
    <row r="178" spans="1:21" ht="15">
      <c r="A178" s="37"/>
      <c r="B178" s="25">
        <f t="shared" si="10"/>
        <v>107</v>
      </c>
      <c r="C178" s="26">
        <f t="shared" si="13"/>
        <v>0</v>
      </c>
      <c r="D178" s="26">
        <f t="shared" si="14"/>
        <v>0</v>
      </c>
      <c r="E178" s="25"/>
      <c r="F178" s="25">
        <f t="shared" si="11"/>
        <v>107</v>
      </c>
      <c r="G178" s="26">
        <f t="shared" si="6"/>
        <v>0</v>
      </c>
      <c r="H178" s="25"/>
      <c r="I178" s="25">
        <f t="shared" si="12"/>
        <v>107</v>
      </c>
      <c r="J178" s="26">
        <f t="shared" si="8"/>
        <v>0</v>
      </c>
      <c r="K178" s="25"/>
      <c r="L178" s="25">
        <f t="shared" si="9"/>
        <v>107</v>
      </c>
      <c r="M178" s="38">
        <f t="shared" si="15"/>
        <v>0.37925049584936704</v>
      </c>
      <c r="N178" s="38">
        <f t="shared" si="16"/>
        <v>0.07</v>
      </c>
      <c r="O178" s="38">
        <f t="shared" si="17"/>
        <v>0.05</v>
      </c>
      <c r="P178" s="36"/>
      <c r="Q178" s="7"/>
      <c r="R178" s="7"/>
      <c r="S178" s="7"/>
      <c r="T178" s="7"/>
      <c r="U178" s="7"/>
    </row>
    <row r="179" spans="1:21" ht="15">
      <c r="A179" s="37"/>
      <c r="B179" s="25">
        <f t="shared" si="10"/>
        <v>108</v>
      </c>
      <c r="C179" s="26">
        <f t="shared" si="13"/>
        <v>0</v>
      </c>
      <c r="D179" s="26">
        <f t="shared" si="14"/>
        <v>0</v>
      </c>
      <c r="E179" s="25"/>
      <c r="F179" s="25">
        <f t="shared" si="11"/>
        <v>108</v>
      </c>
      <c r="G179" s="26">
        <f t="shared" si="6"/>
        <v>0</v>
      </c>
      <c r="H179" s="25"/>
      <c r="I179" s="25">
        <f t="shared" si="12"/>
        <v>108</v>
      </c>
      <c r="J179" s="26">
        <f t="shared" si="8"/>
        <v>0</v>
      </c>
      <c r="K179" s="25"/>
      <c r="L179" s="25">
        <f t="shared" si="9"/>
        <v>108</v>
      </c>
      <c r="M179" s="38">
        <f t="shared" si="15"/>
        <v>0.38114674832861384</v>
      </c>
      <c r="N179" s="38">
        <f t="shared" si="16"/>
        <v>0.07</v>
      </c>
      <c r="O179" s="38">
        <f t="shared" si="17"/>
        <v>0.05</v>
      </c>
      <c r="P179" s="36"/>
      <c r="Q179" s="7"/>
      <c r="R179" s="7"/>
      <c r="S179" s="7"/>
      <c r="T179" s="7"/>
      <c r="U179" s="7"/>
    </row>
    <row r="180" spans="1:21" ht="15">
      <c r="A180" s="37"/>
      <c r="B180" s="25">
        <f t="shared" si="10"/>
        <v>109</v>
      </c>
      <c r="C180" s="26">
        <f t="shared" si="13"/>
        <v>0</v>
      </c>
      <c r="D180" s="26">
        <f t="shared" si="14"/>
        <v>0</v>
      </c>
      <c r="E180" s="25"/>
      <c r="F180" s="25">
        <f t="shared" si="11"/>
        <v>109</v>
      </c>
      <c r="G180" s="26">
        <f t="shared" si="6"/>
        <v>0</v>
      </c>
      <c r="H180" s="25"/>
      <c r="I180" s="25">
        <f t="shared" si="12"/>
        <v>109</v>
      </c>
      <c r="J180" s="26">
        <f t="shared" si="8"/>
        <v>0</v>
      </c>
      <c r="K180" s="25"/>
      <c r="L180" s="25">
        <f t="shared" si="9"/>
        <v>109</v>
      </c>
      <c r="M180" s="38">
        <f t="shared" si="15"/>
        <v>0.3830524820702569</v>
      </c>
      <c r="N180" s="38">
        <f t="shared" si="16"/>
        <v>0.07</v>
      </c>
      <c r="O180" s="38">
        <f t="shared" si="17"/>
        <v>0.05</v>
      </c>
      <c r="P180" s="36"/>
      <c r="Q180" s="7"/>
      <c r="R180" s="7"/>
      <c r="S180" s="7"/>
      <c r="T180" s="7"/>
      <c r="U180" s="7"/>
    </row>
    <row r="181" spans="1:21" ht="15">
      <c r="A181" s="37"/>
      <c r="B181" s="25">
        <f t="shared" si="10"/>
        <v>110</v>
      </c>
      <c r="C181" s="26">
        <f t="shared" si="13"/>
        <v>0</v>
      </c>
      <c r="D181" s="26">
        <f t="shared" si="14"/>
        <v>0</v>
      </c>
      <c r="E181" s="25"/>
      <c r="F181" s="25">
        <f t="shared" si="11"/>
        <v>110</v>
      </c>
      <c r="G181" s="26">
        <f t="shared" si="6"/>
        <v>0</v>
      </c>
      <c r="H181" s="25"/>
      <c r="I181" s="25">
        <f t="shared" si="12"/>
        <v>110</v>
      </c>
      <c r="J181" s="26">
        <f t="shared" si="8"/>
        <v>0</v>
      </c>
      <c r="K181" s="25"/>
      <c r="L181" s="25">
        <f t="shared" si="9"/>
        <v>110</v>
      </c>
      <c r="M181" s="38">
        <f t="shared" si="15"/>
        <v>0.38496774448060805</v>
      </c>
      <c r="N181" s="38">
        <f t="shared" si="16"/>
        <v>0.07</v>
      </c>
      <c r="O181" s="38">
        <f t="shared" si="17"/>
        <v>0.05</v>
      </c>
      <c r="P181" s="36"/>
      <c r="Q181" s="7"/>
      <c r="R181" s="7"/>
      <c r="S181" s="7"/>
      <c r="T181" s="7"/>
      <c r="U181" s="7"/>
    </row>
    <row r="182" spans="1:21" ht="15">
      <c r="A182" s="37"/>
      <c r="B182" s="25">
        <f t="shared" si="10"/>
        <v>111</v>
      </c>
      <c r="C182" s="26">
        <f t="shared" si="13"/>
        <v>0</v>
      </c>
      <c r="D182" s="26">
        <f t="shared" si="14"/>
        <v>0</v>
      </c>
      <c r="E182" s="25"/>
      <c r="F182" s="25">
        <f t="shared" si="11"/>
        <v>111</v>
      </c>
      <c r="G182" s="26">
        <f t="shared" si="6"/>
        <v>0</v>
      </c>
      <c r="H182" s="25"/>
      <c r="I182" s="25">
        <f t="shared" si="12"/>
        <v>111</v>
      </c>
      <c r="J182" s="26">
        <f t="shared" si="8"/>
        <v>0</v>
      </c>
      <c r="K182" s="25"/>
      <c r="L182" s="25">
        <f t="shared" si="9"/>
        <v>111</v>
      </c>
      <c r="M182" s="38">
        <f t="shared" si="15"/>
        <v>0.38689258320301106</v>
      </c>
      <c r="N182" s="38">
        <f t="shared" si="16"/>
        <v>0.07</v>
      </c>
      <c r="O182" s="38">
        <f t="shared" si="17"/>
        <v>0.05</v>
      </c>
      <c r="P182" s="36"/>
      <c r="Q182" s="7"/>
      <c r="R182" s="7"/>
      <c r="S182" s="7"/>
      <c r="T182" s="7"/>
      <c r="U182" s="7"/>
    </row>
    <row r="183" spans="1:21" ht="15">
      <c r="A183" s="37"/>
      <c r="B183" s="25">
        <f t="shared" si="10"/>
        <v>112</v>
      </c>
      <c r="C183" s="26">
        <f t="shared" si="13"/>
        <v>0</v>
      </c>
      <c r="D183" s="26">
        <f t="shared" si="14"/>
        <v>0</v>
      </c>
      <c r="E183" s="25"/>
      <c r="F183" s="25">
        <f t="shared" si="11"/>
        <v>112</v>
      </c>
      <c r="G183" s="26">
        <f t="shared" si="6"/>
        <v>0</v>
      </c>
      <c r="H183" s="25"/>
      <c r="I183" s="25">
        <f t="shared" si="12"/>
        <v>112</v>
      </c>
      <c r="J183" s="26">
        <f t="shared" si="8"/>
        <v>0</v>
      </c>
      <c r="K183" s="25"/>
      <c r="L183" s="25">
        <f t="shared" si="9"/>
        <v>112</v>
      </c>
      <c r="M183" s="38">
        <f t="shared" si="15"/>
        <v>0.388827046119026</v>
      </c>
      <c r="N183" s="38">
        <f t="shared" si="16"/>
        <v>0.07</v>
      </c>
      <c r="O183" s="38">
        <f t="shared" si="17"/>
        <v>0.05</v>
      </c>
      <c r="P183" s="36"/>
      <c r="Q183" s="7"/>
      <c r="R183" s="7"/>
      <c r="S183" s="7"/>
      <c r="T183" s="7"/>
      <c r="U183" s="7"/>
    </row>
    <row r="184" spans="1:21" ht="15">
      <c r="A184" s="37"/>
      <c r="B184" s="25">
        <f t="shared" si="10"/>
        <v>113</v>
      </c>
      <c r="C184" s="26">
        <f t="shared" si="13"/>
        <v>0</v>
      </c>
      <c r="D184" s="26">
        <f t="shared" si="14"/>
        <v>0</v>
      </c>
      <c r="E184" s="25"/>
      <c r="F184" s="25">
        <f t="shared" si="11"/>
        <v>113</v>
      </c>
      <c r="G184" s="26">
        <f t="shared" si="6"/>
        <v>0</v>
      </c>
      <c r="H184" s="25"/>
      <c r="I184" s="25">
        <f t="shared" si="12"/>
        <v>113</v>
      </c>
      <c r="J184" s="26">
        <f t="shared" si="8"/>
        <v>0</v>
      </c>
      <c r="K184" s="25"/>
      <c r="L184" s="25">
        <f t="shared" si="9"/>
        <v>113</v>
      </c>
      <c r="M184" s="38">
        <f t="shared" si="15"/>
        <v>0.39077118134962113</v>
      </c>
      <c r="N184" s="38">
        <f t="shared" si="16"/>
        <v>0.07</v>
      </c>
      <c r="O184" s="38">
        <f t="shared" si="17"/>
        <v>0.05</v>
      </c>
      <c r="P184" s="36"/>
      <c r="Q184" s="7"/>
      <c r="R184" s="7"/>
      <c r="S184" s="7"/>
      <c r="T184" s="7"/>
      <c r="U184" s="7"/>
    </row>
    <row r="185" spans="1:21" ht="15">
      <c r="A185" s="37"/>
      <c r="B185" s="25">
        <f t="shared" si="10"/>
        <v>114</v>
      </c>
      <c r="C185" s="26">
        <f t="shared" si="13"/>
        <v>0</v>
      </c>
      <c r="D185" s="26">
        <f t="shared" si="14"/>
        <v>0</v>
      </c>
      <c r="E185" s="25"/>
      <c r="F185" s="25">
        <f t="shared" si="11"/>
        <v>114</v>
      </c>
      <c r="G185" s="26">
        <f t="shared" si="6"/>
        <v>0</v>
      </c>
      <c r="H185" s="25"/>
      <c r="I185" s="25">
        <f t="shared" si="12"/>
        <v>114</v>
      </c>
      <c r="J185" s="26">
        <f t="shared" si="8"/>
        <v>0</v>
      </c>
      <c r="K185" s="25"/>
      <c r="L185" s="25">
        <f t="shared" si="9"/>
        <v>114</v>
      </c>
      <c r="M185" s="38">
        <f t="shared" si="15"/>
        <v>0.39272503725636915</v>
      </c>
      <c r="N185" s="38">
        <f t="shared" si="16"/>
        <v>0.07</v>
      </c>
      <c r="O185" s="38">
        <f t="shared" si="17"/>
        <v>0.05</v>
      </c>
      <c r="P185" s="36"/>
      <c r="Q185" s="7"/>
      <c r="R185" s="7"/>
      <c r="S185" s="7"/>
      <c r="T185" s="7"/>
      <c r="U185" s="7"/>
    </row>
    <row r="186" spans="1:21" ht="15">
      <c r="A186" s="37"/>
      <c r="B186" s="25">
        <f t="shared" si="10"/>
        <v>115</v>
      </c>
      <c r="C186" s="26">
        <f t="shared" si="13"/>
        <v>0</v>
      </c>
      <c r="D186" s="26">
        <f t="shared" si="14"/>
        <v>0</v>
      </c>
      <c r="E186" s="25"/>
      <c r="F186" s="25">
        <f t="shared" si="11"/>
        <v>115</v>
      </c>
      <c r="G186" s="26">
        <f t="shared" si="6"/>
        <v>0</v>
      </c>
      <c r="H186" s="25"/>
      <c r="I186" s="25">
        <f t="shared" si="12"/>
        <v>115</v>
      </c>
      <c r="J186" s="26">
        <f t="shared" si="8"/>
        <v>0</v>
      </c>
      <c r="K186" s="25"/>
      <c r="L186" s="25">
        <f t="shared" si="9"/>
        <v>115</v>
      </c>
      <c r="M186" s="38">
        <f t="shared" si="15"/>
        <v>0.39468866244265094</v>
      </c>
      <c r="N186" s="38">
        <f t="shared" si="16"/>
        <v>0.07</v>
      </c>
      <c r="O186" s="38">
        <f t="shared" si="17"/>
        <v>0.05</v>
      </c>
      <c r="P186" s="36"/>
      <c r="Q186" s="7"/>
      <c r="R186" s="7"/>
      <c r="S186" s="7"/>
      <c r="T186" s="7"/>
      <c r="U186" s="7"/>
    </row>
    <row r="187" spans="1:21" ht="15">
      <c r="A187" s="37"/>
      <c r="B187" s="25">
        <f t="shared" si="10"/>
        <v>116</v>
      </c>
      <c r="C187" s="26">
        <f t="shared" si="13"/>
        <v>0</v>
      </c>
      <c r="D187" s="26">
        <f t="shared" si="14"/>
        <v>0</v>
      </c>
      <c r="E187" s="25"/>
      <c r="F187" s="25">
        <f t="shared" si="11"/>
        <v>116</v>
      </c>
      <c r="G187" s="26">
        <f t="shared" si="6"/>
        <v>0</v>
      </c>
      <c r="H187" s="25"/>
      <c r="I187" s="25">
        <f t="shared" si="12"/>
        <v>116</v>
      </c>
      <c r="J187" s="26">
        <f t="shared" si="8"/>
        <v>0</v>
      </c>
      <c r="K187" s="25"/>
      <c r="L187" s="25">
        <f t="shared" si="9"/>
        <v>116</v>
      </c>
      <c r="M187" s="38">
        <f t="shared" si="15"/>
        <v>0.3966621057548642</v>
      </c>
      <c r="N187" s="38">
        <f t="shared" si="16"/>
        <v>0.07</v>
      </c>
      <c r="O187" s="38">
        <f t="shared" si="17"/>
        <v>0.05</v>
      </c>
      <c r="P187" s="36"/>
      <c r="Q187" s="7"/>
      <c r="R187" s="7"/>
      <c r="S187" s="7"/>
      <c r="T187" s="7"/>
      <c r="U187" s="7"/>
    </row>
    <row r="188" spans="1:21" ht="15">
      <c r="A188" s="37"/>
      <c r="B188" s="25">
        <f t="shared" si="10"/>
        <v>117</v>
      </c>
      <c r="C188" s="26">
        <f t="shared" si="13"/>
        <v>0</v>
      </c>
      <c r="D188" s="26">
        <f t="shared" si="14"/>
        <v>0</v>
      </c>
      <c r="E188" s="25"/>
      <c r="F188" s="25">
        <f t="shared" si="11"/>
        <v>117</v>
      </c>
      <c r="G188" s="26">
        <f t="shared" si="6"/>
        <v>0</v>
      </c>
      <c r="H188" s="25"/>
      <c r="I188" s="25">
        <f t="shared" si="12"/>
        <v>117</v>
      </c>
      <c r="J188" s="26">
        <f t="shared" si="8"/>
        <v>0</v>
      </c>
      <c r="K188" s="25"/>
      <c r="L188" s="25">
        <f t="shared" si="9"/>
        <v>117</v>
      </c>
      <c r="M188" s="38">
        <f t="shared" si="15"/>
        <v>0.3986454162836384</v>
      </c>
      <c r="N188" s="38">
        <f t="shared" si="16"/>
        <v>0.07</v>
      </c>
      <c r="O188" s="38">
        <f t="shared" si="17"/>
        <v>0.05</v>
      </c>
      <c r="P188" s="36"/>
      <c r="Q188" s="7"/>
      <c r="R188" s="7"/>
      <c r="S188" s="7"/>
      <c r="T188" s="7"/>
      <c r="U188" s="7"/>
    </row>
    <row r="189" spans="1:21" ht="15">
      <c r="A189" s="37"/>
      <c r="B189" s="25">
        <f t="shared" si="10"/>
        <v>118</v>
      </c>
      <c r="C189" s="26">
        <f t="shared" si="13"/>
        <v>0</v>
      </c>
      <c r="D189" s="26">
        <f t="shared" si="14"/>
        <v>0</v>
      </c>
      <c r="E189" s="25"/>
      <c r="F189" s="25">
        <f t="shared" si="11"/>
        <v>118</v>
      </c>
      <c r="G189" s="26">
        <f t="shared" si="6"/>
        <v>0</v>
      </c>
      <c r="H189" s="25"/>
      <c r="I189" s="25">
        <f t="shared" si="12"/>
        <v>118</v>
      </c>
      <c r="J189" s="26">
        <f t="shared" si="8"/>
        <v>0</v>
      </c>
      <c r="K189" s="25"/>
      <c r="L189" s="25">
        <f t="shared" si="9"/>
        <v>118</v>
      </c>
      <c r="M189" s="38">
        <f t="shared" si="15"/>
        <v>0.40063864336505656</v>
      </c>
      <c r="N189" s="38">
        <f t="shared" si="16"/>
        <v>0.07</v>
      </c>
      <c r="O189" s="38">
        <f t="shared" si="17"/>
        <v>0.05</v>
      </c>
      <c r="P189" s="36"/>
      <c r="Q189" s="7"/>
      <c r="R189" s="7"/>
      <c r="S189" s="7"/>
      <c r="T189" s="7"/>
      <c r="U189" s="7"/>
    </row>
    <row r="190" spans="1:21" ht="15">
      <c r="A190" s="37"/>
      <c r="B190" s="25">
        <f t="shared" si="10"/>
        <v>119</v>
      </c>
      <c r="C190" s="26">
        <f t="shared" si="13"/>
        <v>0</v>
      </c>
      <c r="D190" s="26">
        <f t="shared" si="14"/>
        <v>0</v>
      </c>
      <c r="E190" s="25"/>
      <c r="F190" s="25">
        <f t="shared" si="11"/>
        <v>119</v>
      </c>
      <c r="G190" s="26">
        <f t="shared" si="6"/>
        <v>0</v>
      </c>
      <c r="H190" s="25"/>
      <c r="I190" s="25">
        <f t="shared" si="12"/>
        <v>119</v>
      </c>
      <c r="J190" s="26">
        <f t="shared" si="8"/>
        <v>0</v>
      </c>
      <c r="K190" s="25"/>
      <c r="L190" s="25">
        <f t="shared" si="9"/>
        <v>119</v>
      </c>
      <c r="M190" s="38">
        <f t="shared" si="15"/>
        <v>0.4026418365818818</v>
      </c>
      <c r="N190" s="38">
        <f t="shared" si="16"/>
        <v>0.07</v>
      </c>
      <c r="O190" s="38">
        <f t="shared" si="17"/>
        <v>0.05</v>
      </c>
      <c r="P190" s="36"/>
      <c r="Q190" s="7"/>
      <c r="R190" s="7"/>
      <c r="S190" s="7"/>
      <c r="T190" s="7"/>
      <c r="U190" s="7"/>
    </row>
    <row r="191" spans="1:21" ht="15">
      <c r="A191" s="37"/>
      <c r="B191" s="25">
        <f t="shared" si="10"/>
        <v>120</v>
      </c>
      <c r="C191" s="26">
        <f t="shared" si="13"/>
        <v>0</v>
      </c>
      <c r="D191" s="26">
        <f t="shared" si="14"/>
        <v>0</v>
      </c>
      <c r="E191" s="25"/>
      <c r="F191" s="25">
        <f t="shared" si="11"/>
        <v>120</v>
      </c>
      <c r="G191" s="26">
        <f t="shared" si="6"/>
        <v>0</v>
      </c>
      <c r="H191" s="25"/>
      <c r="I191" s="25">
        <f t="shared" si="12"/>
        <v>120</v>
      </c>
      <c r="J191" s="26">
        <f t="shared" si="8"/>
        <v>0</v>
      </c>
      <c r="K191" s="25"/>
      <c r="L191" s="25">
        <f t="shared" si="9"/>
        <v>120</v>
      </c>
      <c r="M191" s="38">
        <f t="shared" si="15"/>
        <v>0.4046550457647911</v>
      </c>
      <c r="N191" s="38">
        <f t="shared" si="16"/>
        <v>0.07</v>
      </c>
      <c r="O191" s="38">
        <f t="shared" si="17"/>
        <v>0.05</v>
      </c>
      <c r="P191" s="36"/>
      <c r="Q191" s="7"/>
      <c r="R191" s="7"/>
      <c r="S191" s="7"/>
      <c r="T191" s="7"/>
      <c r="U191" s="7"/>
    </row>
    <row r="192" spans="1:21" ht="15">
      <c r="A192" s="37"/>
      <c r="B192" s="25">
        <f t="shared" si="10"/>
        <v>121</v>
      </c>
      <c r="C192" s="26">
        <f t="shared" si="13"/>
        <v>0</v>
      </c>
      <c r="D192" s="26">
        <f t="shared" si="14"/>
        <v>0</v>
      </c>
      <c r="E192" s="25"/>
      <c r="F192" s="25">
        <f t="shared" si="11"/>
        <v>121</v>
      </c>
      <c r="G192" s="26">
        <f t="shared" si="6"/>
        <v>0</v>
      </c>
      <c r="H192" s="25"/>
      <c r="I192" s="25">
        <f t="shared" si="12"/>
        <v>121</v>
      </c>
      <c r="J192" s="26">
        <f t="shared" si="8"/>
        <v>0</v>
      </c>
      <c r="K192" s="25"/>
      <c r="L192" s="25">
        <f t="shared" si="9"/>
        <v>121</v>
      </c>
      <c r="M192" s="38">
        <f t="shared" si="15"/>
        <v>0.40667832099361506</v>
      </c>
      <c r="N192" s="38">
        <f t="shared" si="16"/>
        <v>0.07</v>
      </c>
      <c r="O192" s="38">
        <f t="shared" si="17"/>
        <v>0.05</v>
      </c>
      <c r="P192" s="36"/>
      <c r="Q192" s="7"/>
      <c r="R192" s="7"/>
      <c r="S192" s="7"/>
      <c r="T192" s="7"/>
      <c r="U192" s="7"/>
    </row>
    <row r="193" spans="1:21" ht="15">
      <c r="A193" s="37"/>
      <c r="B193" s="25">
        <f t="shared" si="10"/>
        <v>122</v>
      </c>
      <c r="C193" s="26">
        <f t="shared" si="13"/>
        <v>0</v>
      </c>
      <c r="D193" s="26">
        <f t="shared" si="14"/>
        <v>0</v>
      </c>
      <c r="E193" s="25"/>
      <c r="F193" s="25">
        <f t="shared" si="11"/>
        <v>122</v>
      </c>
      <c r="G193" s="26">
        <f t="shared" si="6"/>
        <v>0</v>
      </c>
      <c r="H193" s="25"/>
      <c r="I193" s="25">
        <f t="shared" si="12"/>
        <v>122</v>
      </c>
      <c r="J193" s="26">
        <f t="shared" si="8"/>
        <v>0</v>
      </c>
      <c r="K193" s="25"/>
      <c r="L193" s="25">
        <f t="shared" si="9"/>
        <v>122</v>
      </c>
      <c r="M193" s="38">
        <f t="shared" si="15"/>
        <v>0.408711712598583</v>
      </c>
      <c r="N193" s="38">
        <f t="shared" si="16"/>
        <v>0.07</v>
      </c>
      <c r="O193" s="38">
        <f t="shared" si="17"/>
        <v>0.05</v>
      </c>
      <c r="P193" s="36"/>
      <c r="Q193" s="7"/>
      <c r="R193" s="7"/>
      <c r="S193" s="7"/>
      <c r="T193" s="7"/>
      <c r="U193" s="7"/>
    </row>
    <row r="194" spans="1:21" ht="15">
      <c r="A194" s="37"/>
      <c r="B194" s="25">
        <f t="shared" si="10"/>
        <v>123</v>
      </c>
      <c r="C194" s="26">
        <f t="shared" si="13"/>
        <v>0</v>
      </c>
      <c r="D194" s="26">
        <f t="shared" si="14"/>
        <v>0</v>
      </c>
      <c r="E194" s="25"/>
      <c r="F194" s="25">
        <f t="shared" si="11"/>
        <v>123</v>
      </c>
      <c r="G194" s="26">
        <f t="shared" si="6"/>
        <v>0</v>
      </c>
      <c r="H194" s="25"/>
      <c r="I194" s="25">
        <f t="shared" si="12"/>
        <v>123</v>
      </c>
      <c r="J194" s="26">
        <f t="shared" si="8"/>
        <v>0</v>
      </c>
      <c r="K194" s="25"/>
      <c r="L194" s="25">
        <f t="shared" si="9"/>
        <v>123</v>
      </c>
      <c r="M194" s="38">
        <f t="shared" si="15"/>
        <v>0.4107552711615759</v>
      </c>
      <c r="N194" s="38">
        <f t="shared" si="16"/>
        <v>0.07</v>
      </c>
      <c r="O194" s="38">
        <f t="shared" si="17"/>
        <v>0.05</v>
      </c>
      <c r="P194" s="36"/>
      <c r="Q194" s="7"/>
      <c r="R194" s="7"/>
      <c r="S194" s="7"/>
      <c r="T194" s="7"/>
      <c r="U194" s="7"/>
    </row>
    <row r="195" spans="1:21" ht="15">
      <c r="A195" s="37"/>
      <c r="B195" s="25">
        <f t="shared" si="10"/>
        <v>124</v>
      </c>
      <c r="C195" s="26">
        <f>P272*IF(B195&gt;105,0,1)</f>
        <v>0</v>
      </c>
      <c r="D195" s="26">
        <f>Y272*IF(B195&gt;105,0,1)</f>
        <v>0</v>
      </c>
      <c r="E195" s="25"/>
      <c r="F195" s="25">
        <f t="shared" si="11"/>
        <v>124</v>
      </c>
      <c r="G195" s="26">
        <f t="shared" si="6"/>
        <v>0</v>
      </c>
      <c r="H195" s="25"/>
      <c r="I195" s="25">
        <f t="shared" si="12"/>
        <v>124</v>
      </c>
      <c r="J195" s="26">
        <f t="shared" si="8"/>
        <v>0</v>
      </c>
      <c r="K195" s="25"/>
      <c r="L195" s="25">
        <f t="shared" si="9"/>
        <v>124</v>
      </c>
      <c r="M195" s="38">
        <f aca="true" t="shared" si="18" ref="M195:O197">E272</f>
        <v>0.41280904751738373</v>
      </c>
      <c r="N195" s="38">
        <f t="shared" si="18"/>
        <v>0.07</v>
      </c>
      <c r="O195" s="38">
        <f t="shared" si="18"/>
        <v>0.05</v>
      </c>
      <c r="P195" s="36"/>
      <c r="Q195" s="7"/>
      <c r="R195" s="7"/>
      <c r="S195" s="7"/>
      <c r="T195" s="7"/>
      <c r="U195" s="7"/>
    </row>
    <row r="196" spans="1:21" ht="15">
      <c r="A196" s="37"/>
      <c r="B196" s="25">
        <f t="shared" si="10"/>
        <v>125</v>
      </c>
      <c r="C196" s="26">
        <f>P273*IF(B196&gt;105,0,1)</f>
        <v>0</v>
      </c>
      <c r="D196" s="26">
        <f>Y273*IF(B196&gt;105,0,1)</f>
        <v>0</v>
      </c>
      <c r="E196" s="25"/>
      <c r="F196" s="25">
        <f t="shared" si="11"/>
        <v>125</v>
      </c>
      <c r="G196" s="26">
        <f>IF(F196&gt;105,0,IF(U273+V273&lt;0,0,U273+V273))</f>
        <v>0</v>
      </c>
      <c r="H196" s="25"/>
      <c r="I196" s="25">
        <f t="shared" si="12"/>
        <v>125</v>
      </c>
      <c r="J196" s="26">
        <f>IF(I196&gt;105,0,IF(M273&lt;0,0,M273))</f>
        <v>0</v>
      </c>
      <c r="K196" s="25"/>
      <c r="L196" s="25">
        <f>B196</f>
        <v>125</v>
      </c>
      <c r="M196" s="38">
        <f t="shared" si="18"/>
        <v>0.4148730927549706</v>
      </c>
      <c r="N196" s="38">
        <f t="shared" si="18"/>
        <v>0.07</v>
      </c>
      <c r="O196" s="38">
        <f t="shared" si="18"/>
        <v>0.05</v>
      </c>
      <c r="P196" s="36"/>
      <c r="Q196" s="7"/>
      <c r="R196" s="7"/>
      <c r="S196" s="7"/>
      <c r="T196" s="7"/>
      <c r="U196" s="7"/>
    </row>
    <row r="197" spans="1:21" ht="15">
      <c r="A197" s="37"/>
      <c r="B197" s="25">
        <f t="shared" si="10"/>
        <v>126</v>
      </c>
      <c r="C197" s="26">
        <f>P274*IF(B197&gt;105,0,1)</f>
        <v>0</v>
      </c>
      <c r="D197" s="26">
        <f>Y274*IF(B197&gt;105,0,1)</f>
        <v>0</v>
      </c>
      <c r="E197" s="25"/>
      <c r="F197" s="25">
        <f t="shared" si="11"/>
        <v>126</v>
      </c>
      <c r="G197" s="26">
        <f>IF(F197&gt;105,0,IF(U274+V274&lt;0,0,U274+V274))</f>
        <v>0</v>
      </c>
      <c r="H197" s="25"/>
      <c r="I197" s="25">
        <f t="shared" si="12"/>
        <v>126</v>
      </c>
      <c r="J197" s="26">
        <f>IF(I197&gt;105,0,IF(M274&lt;0,0,M274))</f>
        <v>0</v>
      </c>
      <c r="K197" s="25"/>
      <c r="L197" s="25">
        <f>B197</f>
        <v>126</v>
      </c>
      <c r="M197" s="38">
        <f t="shared" si="18"/>
        <v>0.41694745821874535</v>
      </c>
      <c r="N197" s="38">
        <f t="shared" si="18"/>
        <v>0.07</v>
      </c>
      <c r="O197" s="38">
        <f t="shared" si="18"/>
        <v>0.05</v>
      </c>
      <c r="P197" s="36"/>
      <c r="Q197" s="7"/>
      <c r="R197" s="7"/>
      <c r="S197" s="7"/>
      <c r="T197" s="7"/>
      <c r="U197" s="7"/>
    </row>
    <row r="198" spans="2:21" ht="15">
      <c r="B198" s="36"/>
      <c r="C198" s="36"/>
      <c r="D198" s="36"/>
      <c r="E198" s="36"/>
      <c r="F198" s="40"/>
      <c r="G198" s="40"/>
      <c r="H198" s="36"/>
      <c r="I198" s="36"/>
      <c r="J198" s="36"/>
      <c r="K198" s="36"/>
      <c r="L198" s="36"/>
      <c r="M198" s="36"/>
      <c r="N198" s="36"/>
      <c r="O198" s="36"/>
      <c r="P198" s="36"/>
      <c r="Q198" s="7"/>
      <c r="R198" s="7"/>
      <c r="S198" s="7"/>
      <c r="T198" s="7"/>
      <c r="U198" s="7"/>
    </row>
    <row r="199" spans="2:21" ht="15">
      <c r="B199" s="36"/>
      <c r="C199" s="36"/>
      <c r="D199" s="36"/>
      <c r="E199" s="36"/>
      <c r="F199" s="40"/>
      <c r="G199" s="40"/>
      <c r="H199" s="36"/>
      <c r="I199" s="36"/>
      <c r="J199" s="36"/>
      <c r="K199" s="36"/>
      <c r="L199" s="36"/>
      <c r="M199" s="36"/>
      <c r="N199" s="36"/>
      <c r="O199" s="36"/>
      <c r="P199" s="36"/>
      <c r="Q199" s="7"/>
      <c r="R199" s="7"/>
      <c r="S199" s="7"/>
      <c r="T199" s="7"/>
      <c r="U199" s="7"/>
    </row>
    <row r="200" spans="2:21" ht="15">
      <c r="B200" s="7"/>
      <c r="C200" s="7"/>
      <c r="D200" s="7"/>
      <c r="E200" s="7"/>
      <c r="F200" s="10"/>
      <c r="G200" s="10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</row>
    <row r="201" spans="2:21" ht="15">
      <c r="B201" s="7"/>
      <c r="C201" s="7"/>
      <c r="D201" s="7"/>
      <c r="E201" s="7"/>
      <c r="F201" s="10"/>
      <c r="G201" s="10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</row>
    <row r="202" spans="2:23" ht="15">
      <c r="B202" s="7"/>
      <c r="C202" s="7"/>
      <c r="D202" s="7"/>
      <c r="E202" s="7"/>
      <c r="F202" s="10"/>
      <c r="G202" s="10"/>
      <c r="H202" s="10"/>
      <c r="I202" s="10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2:23" ht="15">
      <c r="B203" s="7"/>
      <c r="C203" s="7"/>
      <c r="D203" s="7"/>
      <c r="E203" s="7"/>
      <c r="F203" s="10"/>
      <c r="G203" s="10"/>
      <c r="H203" s="10"/>
      <c r="I203" s="10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2:22" ht="15" hidden="1">
      <c r="B204" s="23"/>
      <c r="C204" s="23"/>
      <c r="D204" s="23"/>
      <c r="E204" s="7" t="s">
        <v>221</v>
      </c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2:25" ht="15" hidden="1">
      <c r="B205" s="5"/>
      <c r="C205" s="5"/>
      <c r="D205" s="5"/>
      <c r="E205" s="7"/>
      <c r="F205" s="7"/>
      <c r="G205" s="7"/>
      <c r="H205" s="7"/>
      <c r="I205" s="7"/>
      <c r="J205" s="14" t="s">
        <v>22</v>
      </c>
      <c r="K205" s="7"/>
      <c r="L205" s="7"/>
      <c r="M205" s="7"/>
      <c r="N205" s="7"/>
      <c r="O205" s="7"/>
      <c r="P205" s="7"/>
      <c r="Q205" s="7"/>
      <c r="R205" s="7"/>
      <c r="S205" s="14" t="s">
        <v>21</v>
      </c>
      <c r="T205" s="7"/>
      <c r="U205" s="7"/>
      <c r="V205" s="7"/>
      <c r="W205" s="7"/>
      <c r="X205" s="7"/>
      <c r="Y205" s="7"/>
    </row>
    <row r="206" spans="2:25" ht="15" hidden="1">
      <c r="B206" s="5"/>
      <c r="C206" s="5"/>
      <c r="D206" s="5"/>
      <c r="E206" s="7"/>
      <c r="F206" s="7"/>
      <c r="G206" s="7"/>
      <c r="H206" s="7"/>
      <c r="I206" s="7"/>
      <c r="J206" s="7"/>
      <c r="K206" s="7"/>
      <c r="L206" s="7" t="s">
        <v>9</v>
      </c>
      <c r="M206" s="7"/>
      <c r="N206" s="7" t="s">
        <v>13</v>
      </c>
      <c r="O206" s="7"/>
      <c r="P206" s="7"/>
      <c r="R206" s="7"/>
      <c r="S206" s="7"/>
      <c r="T206" s="7" t="s">
        <v>9</v>
      </c>
      <c r="U206" s="7"/>
      <c r="V206" s="7" t="s">
        <v>17</v>
      </c>
      <c r="W206" s="7" t="s">
        <v>13</v>
      </c>
      <c r="X206" s="7"/>
      <c r="Y206" s="7"/>
    </row>
    <row r="207" spans="2:25" ht="15" hidden="1">
      <c r="B207" s="5"/>
      <c r="C207" s="5"/>
      <c r="D207" s="5"/>
      <c r="E207" s="6" t="s">
        <v>2</v>
      </c>
      <c r="F207" s="6" t="s">
        <v>4</v>
      </c>
      <c r="G207" s="6" t="s">
        <v>10</v>
      </c>
      <c r="H207" s="6" t="s">
        <v>40</v>
      </c>
      <c r="I207" s="6" t="s">
        <v>5</v>
      </c>
      <c r="J207" s="6" t="s">
        <v>6</v>
      </c>
      <c r="K207" s="6" t="s">
        <v>5</v>
      </c>
      <c r="L207" s="6" t="s">
        <v>12</v>
      </c>
      <c r="M207" s="6" t="s">
        <v>14</v>
      </c>
      <c r="N207" s="6" t="s">
        <v>1</v>
      </c>
      <c r="O207" s="7" t="s">
        <v>11</v>
      </c>
      <c r="P207" s="6" t="s">
        <v>15</v>
      </c>
      <c r="R207" s="6"/>
      <c r="S207" s="6" t="s">
        <v>5</v>
      </c>
      <c r="T207" s="6" t="s">
        <v>12</v>
      </c>
      <c r="U207" s="6" t="s">
        <v>3</v>
      </c>
      <c r="V207" s="6" t="s">
        <v>16</v>
      </c>
      <c r="W207" s="6" t="s">
        <v>0</v>
      </c>
      <c r="X207" s="7" t="s">
        <v>11</v>
      </c>
      <c r="Y207" s="6" t="s">
        <v>15</v>
      </c>
    </row>
    <row r="208" spans="2:25" ht="15" hidden="1">
      <c r="B208" s="5"/>
      <c r="C208" s="5"/>
      <c r="D208" s="5"/>
      <c r="E208" s="8">
        <f>B47</f>
        <v>0.3</v>
      </c>
      <c r="F208" s="8">
        <f>B58</f>
        <v>0.05</v>
      </c>
      <c r="G208" s="8">
        <f>C58</f>
        <v>0.03</v>
      </c>
      <c r="H208" s="22">
        <v>1</v>
      </c>
      <c r="I208" s="7">
        <v>70</v>
      </c>
      <c r="J208" s="9">
        <v>27.4</v>
      </c>
      <c r="K208" s="7">
        <f>$B$20</f>
        <v>60</v>
      </c>
      <c r="L208" s="12">
        <f aca="true" t="shared" si="19" ref="L208:L239">IF(K208&lt;$B$22,0,$B$77*H208/$H$208)</f>
        <v>0</v>
      </c>
      <c r="M208" s="15">
        <v>0</v>
      </c>
      <c r="N208" s="13">
        <f>$B$34</f>
        <v>100000</v>
      </c>
      <c r="O208" s="13">
        <f>B72-E208*B34*B40</f>
        <v>3000</v>
      </c>
      <c r="P208" s="10">
        <f>N208+O208</f>
        <v>103000</v>
      </c>
      <c r="R208" s="12"/>
      <c r="S208" s="7">
        <f>$B$20</f>
        <v>60</v>
      </c>
      <c r="T208" s="12">
        <f aca="true" t="shared" si="20" ref="T208:T214">L208</f>
        <v>0</v>
      </c>
      <c r="U208" s="12">
        <f>IF(S208&lt;70,0,W208/LOOKUP(S208,$I$208:$J$252))*IF(W208&lt;0,0,1)</f>
        <v>0</v>
      </c>
      <c r="V208" s="13">
        <v>0</v>
      </c>
      <c r="W208" s="13">
        <f>$B$34</f>
        <v>100000</v>
      </c>
      <c r="X208" s="13">
        <f>B72</f>
        <v>30000</v>
      </c>
      <c r="Y208" s="10">
        <f aca="true" t="shared" si="21" ref="Y208:Y239">W208*(1-E208)+X208</f>
        <v>100000</v>
      </c>
    </row>
    <row r="209" spans="2:25" ht="15" hidden="1">
      <c r="B209" s="5"/>
      <c r="C209" s="5"/>
      <c r="D209" s="5"/>
      <c r="E209" s="8">
        <f>IF(OR(K209&lt;$B$22,K209&lt;$K$208+4),$B$48,$B$49)*FV($B$51,K209-$K$208,,-1)</f>
        <v>0.25125</v>
      </c>
      <c r="F209" s="8">
        <f>B59</f>
        <v>0.06</v>
      </c>
      <c r="G209" s="8">
        <f>C59</f>
        <v>0.04</v>
      </c>
      <c r="H209" s="22">
        <f>H208*(1+G208)</f>
        <v>1.03</v>
      </c>
      <c r="I209" s="7">
        <v>71</v>
      </c>
      <c r="J209" s="9">
        <v>26.5</v>
      </c>
      <c r="K209" s="7">
        <f>K208+1</f>
        <v>61</v>
      </c>
      <c r="L209" s="12">
        <f t="shared" si="19"/>
        <v>0</v>
      </c>
      <c r="M209" s="15">
        <f>IF(O208=0,L209,IF(O208&gt;L209,0,IF(O208&lt;0,-O208,0)))</f>
        <v>0</v>
      </c>
      <c r="N209" s="13">
        <f aca="true" t="shared" si="22" ref="N209:N240">(N208-0.5*M208)*(1+F208)-0.5*M208</f>
        <v>105000</v>
      </c>
      <c r="O209" s="13">
        <f aca="true" t="shared" si="23" ref="O209:O240">(O208-0.5*L208+0.5*M208)*(1+F208*(1-E208))-0.5*L208+0.5*M208</f>
        <v>3104.9999999999995</v>
      </c>
      <c r="P209" s="10">
        <f aca="true" t="shared" si="24" ref="P209:P272">N209+O209</f>
        <v>108105</v>
      </c>
      <c r="R209" s="12"/>
      <c r="S209" s="7">
        <f aca="true" t="shared" si="25" ref="S209:S214">S208+1</f>
        <v>61</v>
      </c>
      <c r="T209" s="12">
        <f t="shared" si="20"/>
        <v>0</v>
      </c>
      <c r="U209" s="12">
        <f aca="true" t="shared" si="26" ref="U209:U272">IF(S209&lt;70,0,W209/LOOKUP(S209,$I$208:$J$252))*IF(W209&lt;0,0,1)</f>
        <v>0</v>
      </c>
      <c r="V209" s="12">
        <f aca="true" t="shared" si="27" ref="V209:V240">IF(W208&lt;T209,0,IF(X209&gt;T209,0,T209*(1+E208)))</f>
        <v>0</v>
      </c>
      <c r="W209" s="15">
        <f aca="true" t="shared" si="28" ref="W209:W240">(W208-0.5*V208-0.5*U208)*(1+F208)-0.5*V208-0.5*U208</f>
        <v>105000</v>
      </c>
      <c r="X209" s="13">
        <f>(X208-0.5*T208+0.5*(U208+V208)*(1-E208*$B$40))*(1+F208*(1-E208))-0.5*T208+0.5*(U208+V208)*(1-E208*$B$40)</f>
        <v>31049.999999999996</v>
      </c>
      <c r="Y209" s="10">
        <f t="shared" si="21"/>
        <v>109668.75</v>
      </c>
    </row>
    <row r="210" spans="2:25" ht="15" hidden="1">
      <c r="B210" s="5"/>
      <c r="C210" s="5"/>
      <c r="D210" s="5"/>
      <c r="E210" s="8">
        <f aca="true" t="shared" si="29" ref="E210:E273">IF(OR(K210&lt;$B$22,K210&lt;$K$208+4),$B$48,$B$49)*FV($B$51,K210-$K$208,,-1)</f>
        <v>0.25250624999999993</v>
      </c>
      <c r="F210" s="8">
        <f>0.5*(F209+F211)</f>
        <v>0.0625</v>
      </c>
      <c r="G210" s="8">
        <f>0.5*(G209+G211)</f>
        <v>0.042499999999999996</v>
      </c>
      <c r="H210" s="22">
        <f aca="true" t="shared" si="30" ref="H210:H273">H209*(1+G209)</f>
        <v>1.0712000000000002</v>
      </c>
      <c r="I210" s="7">
        <v>72</v>
      </c>
      <c r="J210" s="9">
        <v>25.6</v>
      </c>
      <c r="K210" s="7">
        <f>K209+1</f>
        <v>62</v>
      </c>
      <c r="L210" s="12">
        <f t="shared" si="19"/>
        <v>0</v>
      </c>
      <c r="M210" s="15">
        <f aca="true" t="shared" si="31" ref="M210:M273">IF(O209=0,L210,IF(O209&gt;L210,0,IF(O209&lt;0,-O209,0)))</f>
        <v>0</v>
      </c>
      <c r="N210" s="12">
        <f t="shared" si="22"/>
        <v>111300</v>
      </c>
      <c r="O210" s="13">
        <f t="shared" si="23"/>
        <v>3244.4921249999998</v>
      </c>
      <c r="P210" s="10">
        <f t="shared" si="24"/>
        <v>114544.492125</v>
      </c>
      <c r="R210" s="12"/>
      <c r="S210" s="7">
        <f t="shared" si="25"/>
        <v>62</v>
      </c>
      <c r="T210" s="12">
        <f t="shared" si="20"/>
        <v>0</v>
      </c>
      <c r="U210" s="12">
        <f t="shared" si="26"/>
        <v>0</v>
      </c>
      <c r="V210" s="12">
        <f t="shared" si="27"/>
        <v>0</v>
      </c>
      <c r="W210" s="15">
        <f t="shared" si="28"/>
        <v>111300</v>
      </c>
      <c r="X210" s="13">
        <f aca="true" t="shared" si="32" ref="X210:X273">(X209-0.5*T209+0.5*(U209+V209)*(1-E209*$B$40))*(1+F209*(1-E209))-0.5*T209+0.5*(U209+V209)*(1-E209*$B$40)</f>
        <v>32444.92125</v>
      </c>
      <c r="Y210" s="10">
        <f t="shared" si="21"/>
        <v>115640.975625</v>
      </c>
    </row>
    <row r="211" spans="2:25" ht="15" hidden="1">
      <c r="B211" s="5"/>
      <c r="C211" s="5"/>
      <c r="D211" s="5"/>
      <c r="E211" s="8">
        <f t="shared" si="29"/>
        <v>0.2537687812499999</v>
      </c>
      <c r="F211" s="8">
        <f>0.5*(F209+F213)</f>
        <v>0.065</v>
      </c>
      <c r="G211" s="8">
        <f>0.5*(G209+G213)</f>
        <v>0.045</v>
      </c>
      <c r="H211" s="22">
        <f t="shared" si="30"/>
        <v>1.116726</v>
      </c>
      <c r="I211" s="7">
        <v>73</v>
      </c>
      <c r="J211" s="9">
        <v>24.7</v>
      </c>
      <c r="K211" s="7">
        <f aca="true" t="shared" si="33" ref="K211:K274">K210+1</f>
        <v>63</v>
      </c>
      <c r="L211" s="12">
        <f t="shared" si="19"/>
        <v>0</v>
      </c>
      <c r="M211" s="15">
        <f t="shared" si="31"/>
        <v>0</v>
      </c>
      <c r="N211" s="12">
        <f t="shared" si="22"/>
        <v>118256.25</v>
      </c>
      <c r="O211" s="13">
        <f t="shared" si="23"/>
        <v>3396.0694740851072</v>
      </c>
      <c r="P211" s="10">
        <f t="shared" si="24"/>
        <v>121652.3194740851</v>
      </c>
      <c r="R211" s="7"/>
      <c r="S211" s="7">
        <f t="shared" si="25"/>
        <v>63</v>
      </c>
      <c r="T211" s="12">
        <f t="shared" si="20"/>
        <v>0</v>
      </c>
      <c r="U211" s="12">
        <f t="shared" si="26"/>
        <v>0</v>
      </c>
      <c r="V211" s="12">
        <f t="shared" si="27"/>
        <v>0</v>
      </c>
      <c r="W211" s="15">
        <f t="shared" si="28"/>
        <v>118256.25</v>
      </c>
      <c r="X211" s="13">
        <f t="shared" si="32"/>
        <v>33960.694740851075</v>
      </c>
      <c r="Y211" s="10">
        <f t="shared" si="21"/>
        <v>122207.20030315577</v>
      </c>
    </row>
    <row r="212" spans="2:25" ht="15" hidden="1">
      <c r="B212" s="5"/>
      <c r="C212" s="5"/>
      <c r="D212" s="5"/>
      <c r="E212" s="8">
        <f t="shared" si="29"/>
        <v>0.25503762515624984</v>
      </c>
      <c r="F212" s="8">
        <f>0.5*(F211+F213)</f>
        <v>0.0675</v>
      </c>
      <c r="G212" s="8">
        <f>0.5*(G211+G213)</f>
        <v>0.0475</v>
      </c>
      <c r="H212" s="22">
        <f t="shared" si="30"/>
        <v>1.16697867</v>
      </c>
      <c r="I212" s="7">
        <v>74</v>
      </c>
      <c r="J212" s="9">
        <v>23.8</v>
      </c>
      <c r="K212" s="7">
        <f t="shared" si="33"/>
        <v>64</v>
      </c>
      <c r="L212" s="12">
        <f t="shared" si="19"/>
        <v>0</v>
      </c>
      <c r="M212" s="15">
        <f t="shared" si="31"/>
        <v>0</v>
      </c>
      <c r="N212" s="12">
        <f t="shared" si="22"/>
        <v>125942.90625</v>
      </c>
      <c r="O212" s="13">
        <f t="shared" si="23"/>
        <v>3560.7959231545105</v>
      </c>
      <c r="P212" s="10">
        <f t="shared" si="24"/>
        <v>129503.70217315451</v>
      </c>
      <c r="R212" s="7"/>
      <c r="S212" s="7">
        <f t="shared" si="25"/>
        <v>64</v>
      </c>
      <c r="T212" s="12">
        <f t="shared" si="20"/>
        <v>0</v>
      </c>
      <c r="U212" s="12">
        <f t="shared" si="26"/>
        <v>0</v>
      </c>
      <c r="V212" s="12">
        <f t="shared" si="27"/>
        <v>0</v>
      </c>
      <c r="W212" s="15">
        <f t="shared" si="28"/>
        <v>125942.90625</v>
      </c>
      <c r="X212" s="13">
        <f t="shared" si="32"/>
        <v>35607.95923154511</v>
      </c>
      <c r="Y212" s="10">
        <f t="shared" si="21"/>
        <v>129430.6857662689</v>
      </c>
    </row>
    <row r="213" spans="2:25" ht="15" hidden="1">
      <c r="B213" s="5"/>
      <c r="C213" s="5"/>
      <c r="D213" s="5"/>
      <c r="E213" s="8">
        <f t="shared" si="29"/>
        <v>0.30757537593843726</v>
      </c>
      <c r="F213" s="8">
        <f>B60</f>
        <v>0.07</v>
      </c>
      <c r="G213" s="8">
        <f>C60</f>
        <v>0.05</v>
      </c>
      <c r="H213" s="22">
        <f t="shared" si="30"/>
        <v>1.222410156825</v>
      </c>
      <c r="I213" s="7">
        <v>75</v>
      </c>
      <c r="J213" s="9">
        <v>22.9</v>
      </c>
      <c r="K213" s="7">
        <f t="shared" si="33"/>
        <v>65</v>
      </c>
      <c r="L213" s="12">
        <f t="shared" si="19"/>
        <v>6234.291799807501</v>
      </c>
      <c r="M213" s="15">
        <f t="shared" si="31"/>
        <v>0</v>
      </c>
      <c r="N213" s="12">
        <f t="shared" si="22"/>
        <v>134444.05242187498</v>
      </c>
      <c r="O213" s="13">
        <f t="shared" si="23"/>
        <v>3739.8504047936913</v>
      </c>
      <c r="P213" s="10">
        <f t="shared" si="24"/>
        <v>138183.90282666867</v>
      </c>
      <c r="R213" s="7"/>
      <c r="S213" s="7">
        <f t="shared" si="25"/>
        <v>65</v>
      </c>
      <c r="T213" s="12">
        <f t="shared" si="20"/>
        <v>6234.291799807501</v>
      </c>
      <c r="U213" s="12">
        <f t="shared" si="26"/>
        <v>0</v>
      </c>
      <c r="V213" s="12">
        <f t="shared" si="27"/>
        <v>0</v>
      </c>
      <c r="W213" s="15">
        <f t="shared" si="28"/>
        <v>134444.05242187498</v>
      </c>
      <c r="X213" s="13">
        <f t="shared" si="32"/>
        <v>37398.50404793692</v>
      </c>
      <c r="Y213" s="10">
        <f t="shared" si="21"/>
        <v>130490.87650346674</v>
      </c>
    </row>
    <row r="214" spans="2:25" ht="15" hidden="1">
      <c r="B214" s="5"/>
      <c r="C214" s="5"/>
      <c r="D214" s="5"/>
      <c r="E214" s="8">
        <f t="shared" si="29"/>
        <v>0.30911325281812935</v>
      </c>
      <c r="F214" s="8">
        <f>F213</f>
        <v>0.07</v>
      </c>
      <c r="G214" s="8">
        <f>G213</f>
        <v>0.05</v>
      </c>
      <c r="H214" s="22">
        <f t="shared" si="30"/>
        <v>1.28353066466625</v>
      </c>
      <c r="I214" s="7">
        <v>76</v>
      </c>
      <c r="J214" s="9">
        <v>22</v>
      </c>
      <c r="K214" s="7">
        <f t="shared" si="33"/>
        <v>66</v>
      </c>
      <c r="L214" s="12">
        <f t="shared" si="19"/>
        <v>6546.006389797875</v>
      </c>
      <c r="M214" s="15">
        <f t="shared" si="31"/>
        <v>0</v>
      </c>
      <c r="N214" s="12">
        <f t="shared" si="22"/>
        <v>143855.13609140622</v>
      </c>
      <c r="O214" s="13">
        <f t="shared" si="23"/>
        <v>-2464.2590797248195</v>
      </c>
      <c r="P214" s="10">
        <f t="shared" si="24"/>
        <v>141390.8770116814</v>
      </c>
      <c r="R214" s="7"/>
      <c r="S214" s="7">
        <f t="shared" si="25"/>
        <v>66</v>
      </c>
      <c r="T214" s="12">
        <f t="shared" si="20"/>
        <v>6546.006389797875</v>
      </c>
      <c r="U214" s="12">
        <f t="shared" si="26"/>
        <v>0</v>
      </c>
      <c r="V214" s="12">
        <f t="shared" si="27"/>
        <v>0</v>
      </c>
      <c r="W214" s="15">
        <f t="shared" si="28"/>
        <v>143855.13609140622</v>
      </c>
      <c r="X214" s="13">
        <f t="shared" si="32"/>
        <v>32825.82020508744</v>
      </c>
      <c r="Y214" s="10">
        <f t="shared" si="21"/>
        <v>132213.42724468443</v>
      </c>
    </row>
    <row r="215" spans="2:25" ht="15" hidden="1">
      <c r="B215" s="5"/>
      <c r="C215" s="5"/>
      <c r="D215" s="5"/>
      <c r="E215" s="8">
        <f t="shared" si="29"/>
        <v>0.31065881908222</v>
      </c>
      <c r="F215" s="11">
        <f aca="true" t="shared" si="34" ref="F215:G230">F214</f>
        <v>0.07</v>
      </c>
      <c r="G215" s="8">
        <f t="shared" si="34"/>
        <v>0.05</v>
      </c>
      <c r="H215" s="22">
        <f t="shared" si="30"/>
        <v>1.3477071978995627</v>
      </c>
      <c r="I215" s="7">
        <v>77</v>
      </c>
      <c r="J215" s="9">
        <v>21.2</v>
      </c>
      <c r="K215" s="7">
        <f t="shared" si="33"/>
        <v>67</v>
      </c>
      <c r="L215" s="12">
        <f t="shared" si="19"/>
        <v>6873.30670928777</v>
      </c>
      <c r="M215" s="15">
        <f t="shared" si="31"/>
        <v>2464.2590797248195</v>
      </c>
      <c r="N215" s="12">
        <f t="shared" si="22"/>
        <v>153924.99561780467</v>
      </c>
      <c r="O215" s="13">
        <f t="shared" si="23"/>
        <v>-9287.731362467779</v>
      </c>
      <c r="P215" s="10">
        <f t="shared" si="24"/>
        <v>144637.2642553369</v>
      </c>
      <c r="R215" s="7"/>
      <c r="S215" s="7">
        <f aca="true" t="shared" si="35" ref="S215:S274">S214+1</f>
        <v>67</v>
      </c>
      <c r="T215" s="12">
        <f aca="true" t="shared" si="36" ref="T215:T274">L215</f>
        <v>6873.30670928777</v>
      </c>
      <c r="U215" s="12">
        <f t="shared" si="26"/>
        <v>0</v>
      </c>
      <c r="V215" s="12">
        <f t="shared" si="27"/>
        <v>0</v>
      </c>
      <c r="W215" s="15">
        <f t="shared" si="28"/>
        <v>153924.99561780467</v>
      </c>
      <c r="X215" s="13">
        <f t="shared" si="32"/>
        <v>27709.049288285674</v>
      </c>
      <c r="Y215" s="10">
        <f t="shared" si="21"/>
        <v>133815.88754022727</v>
      </c>
    </row>
    <row r="216" spans="2:25" ht="15" hidden="1">
      <c r="B216" s="5"/>
      <c r="C216" s="5"/>
      <c r="D216" s="5"/>
      <c r="E216" s="8">
        <f t="shared" si="29"/>
        <v>0.31221211317763103</v>
      </c>
      <c r="F216" s="11">
        <f t="shared" si="34"/>
        <v>0.07</v>
      </c>
      <c r="G216" s="8">
        <f t="shared" si="34"/>
        <v>0.05</v>
      </c>
      <c r="H216" s="22">
        <f t="shared" si="30"/>
        <v>1.415092557794541</v>
      </c>
      <c r="I216" s="7">
        <v>78</v>
      </c>
      <c r="J216" s="9">
        <v>20.3</v>
      </c>
      <c r="K216" s="7">
        <f t="shared" si="33"/>
        <v>68</v>
      </c>
      <c r="L216" s="12">
        <f t="shared" si="19"/>
        <v>7216.9720447521595</v>
      </c>
      <c r="M216" s="15">
        <f t="shared" si="31"/>
        <v>9287.731362467779</v>
      </c>
      <c r="N216" s="12">
        <f t="shared" si="22"/>
        <v>162149.23716353578</v>
      </c>
      <c r="O216" s="13">
        <f t="shared" si="23"/>
        <v>-14251.324924901273</v>
      </c>
      <c r="P216" s="10">
        <f t="shared" si="24"/>
        <v>147897.9122386345</v>
      </c>
      <c r="R216" s="7"/>
      <c r="S216" s="7">
        <f t="shared" si="35"/>
        <v>68</v>
      </c>
      <c r="T216" s="12">
        <f t="shared" si="36"/>
        <v>7216.9720447521595</v>
      </c>
      <c r="U216" s="12">
        <f t="shared" si="26"/>
        <v>0</v>
      </c>
      <c r="V216" s="12">
        <f t="shared" si="27"/>
        <v>0</v>
      </c>
      <c r="W216" s="15">
        <f t="shared" si="28"/>
        <v>164699.745311051</v>
      </c>
      <c r="X216" s="13">
        <f t="shared" si="32"/>
        <v>22006.97992435995</v>
      </c>
      <c r="Y216" s="10">
        <f t="shared" si="21"/>
        <v>135285.46971203008</v>
      </c>
    </row>
    <row r="217" spans="2:25" ht="15" hidden="1">
      <c r="B217" s="5"/>
      <c r="C217" s="5"/>
      <c r="D217" s="5"/>
      <c r="E217" s="8">
        <f t="shared" si="29"/>
        <v>0.3137731737435192</v>
      </c>
      <c r="F217" s="11">
        <f t="shared" si="34"/>
        <v>0.07</v>
      </c>
      <c r="G217" s="8">
        <f t="shared" si="34"/>
        <v>0.05</v>
      </c>
      <c r="H217" s="22">
        <f t="shared" si="30"/>
        <v>1.485847185684268</v>
      </c>
      <c r="I217" s="7">
        <v>79</v>
      </c>
      <c r="J217" s="9">
        <v>19.5</v>
      </c>
      <c r="K217" s="7">
        <f t="shared" si="33"/>
        <v>69</v>
      </c>
      <c r="L217" s="12">
        <f t="shared" si="19"/>
        <v>7577.820646989768</v>
      </c>
      <c r="M217" s="15">
        <f t="shared" si="31"/>
        <v>14251.324924901273</v>
      </c>
      <c r="N217" s="12">
        <f t="shared" si="22"/>
        <v>163886.8818048291</v>
      </c>
      <c r="O217" s="13">
        <f t="shared" si="23"/>
        <v>-12816.849301868104</v>
      </c>
      <c r="P217" s="10">
        <f t="shared" si="24"/>
        <v>151070.032502961</v>
      </c>
      <c r="R217" s="7"/>
      <c r="S217" s="7">
        <f t="shared" si="35"/>
        <v>69</v>
      </c>
      <c r="T217" s="12">
        <f t="shared" si="36"/>
        <v>7577.820646989768</v>
      </c>
      <c r="U217" s="12">
        <f t="shared" si="26"/>
        <v>0</v>
      </c>
      <c r="V217" s="12">
        <f t="shared" si="27"/>
        <v>0</v>
      </c>
      <c r="W217" s="15">
        <f t="shared" si="28"/>
        <v>176228.7274828246</v>
      </c>
      <c r="X217" s="13">
        <f t="shared" si="32"/>
        <v>15675.806166516966</v>
      </c>
      <c r="Y217" s="10">
        <f t="shared" si="21"/>
        <v>136608.68652227393</v>
      </c>
    </row>
    <row r="218" spans="2:25" ht="15" hidden="1">
      <c r="B218" s="5"/>
      <c r="C218" s="5"/>
      <c r="D218" s="5"/>
      <c r="E218" s="8">
        <f t="shared" si="29"/>
        <v>0.3153420396122367</v>
      </c>
      <c r="F218" s="11">
        <f t="shared" si="34"/>
        <v>0.07</v>
      </c>
      <c r="G218" s="8">
        <f t="shared" si="34"/>
        <v>0.05</v>
      </c>
      <c r="H218" s="22">
        <f t="shared" si="30"/>
        <v>1.5601395449684816</v>
      </c>
      <c r="I218" s="7">
        <v>80</v>
      </c>
      <c r="J218" s="9">
        <v>18.7</v>
      </c>
      <c r="K218" s="7">
        <f t="shared" si="33"/>
        <v>70</v>
      </c>
      <c r="L218" s="12">
        <f t="shared" si="19"/>
        <v>7956.711679339256</v>
      </c>
      <c r="M218" s="15">
        <f t="shared" si="31"/>
        <v>12816.849301868104</v>
      </c>
      <c r="N218" s="12">
        <f t="shared" si="22"/>
        <v>160608.84223389433</v>
      </c>
      <c r="O218" s="13">
        <f t="shared" si="23"/>
        <v>-6598.729813166188</v>
      </c>
      <c r="P218" s="10">
        <f t="shared" si="24"/>
        <v>154010.11242072814</v>
      </c>
      <c r="R218" s="7"/>
      <c r="S218" s="7">
        <f t="shared" si="35"/>
        <v>70</v>
      </c>
      <c r="T218" s="12">
        <f t="shared" si="36"/>
        <v>7956.711679339256</v>
      </c>
      <c r="U218" s="12">
        <f t="shared" si="26"/>
        <v>6881.924759365778</v>
      </c>
      <c r="V218" s="12">
        <f t="shared" si="27"/>
        <v>0</v>
      </c>
      <c r="W218" s="15">
        <f t="shared" si="28"/>
        <v>188564.73840662232</v>
      </c>
      <c r="X218" s="13">
        <f t="shared" si="32"/>
        <v>8668.982996115088</v>
      </c>
      <c r="Y218" s="10">
        <f t="shared" si="21"/>
        <v>137771.33219464525</v>
      </c>
    </row>
    <row r="219" spans="2:25" ht="15" hidden="1">
      <c r="B219" s="5"/>
      <c r="C219" s="5"/>
      <c r="D219" s="5"/>
      <c r="E219" s="8">
        <f t="shared" si="29"/>
        <v>0.3169187498102979</v>
      </c>
      <c r="F219" s="11">
        <f t="shared" si="34"/>
        <v>0.07</v>
      </c>
      <c r="G219" s="8">
        <f t="shared" si="34"/>
        <v>0.05</v>
      </c>
      <c r="H219" s="22">
        <f t="shared" si="30"/>
        <v>1.6381465222169058</v>
      </c>
      <c r="I219" s="7">
        <v>81</v>
      </c>
      <c r="J219" s="9">
        <v>17.9</v>
      </c>
      <c r="K219" s="7">
        <f t="shared" si="33"/>
        <v>71</v>
      </c>
      <c r="L219" s="12">
        <f t="shared" si="19"/>
        <v>8354.54726330622</v>
      </c>
      <c r="M219" s="15">
        <f t="shared" si="31"/>
        <v>6598.729813166188</v>
      </c>
      <c r="N219" s="12">
        <f t="shared" si="22"/>
        <v>158586.02216283345</v>
      </c>
      <c r="O219" s="13">
        <f t="shared" si="23"/>
        <v>-1938.3796763750452</v>
      </c>
      <c r="P219" s="10">
        <f t="shared" si="24"/>
        <v>156647.6424864584</v>
      </c>
      <c r="R219" s="7"/>
      <c r="S219" s="7">
        <f t="shared" si="35"/>
        <v>71</v>
      </c>
      <c r="T219" s="12">
        <f t="shared" si="36"/>
        <v>8354.54726330622</v>
      </c>
      <c r="U219" s="12">
        <f t="shared" si="26"/>
        <v>7344.961432797822</v>
      </c>
      <c r="V219" s="12">
        <f t="shared" si="27"/>
        <v>10989.087237354035</v>
      </c>
      <c r="W219" s="15">
        <f t="shared" si="28"/>
        <v>194641.4779691423</v>
      </c>
      <c r="X219" s="13">
        <f t="shared" si="32"/>
        <v>5983.963680871266</v>
      </c>
      <c r="Y219" s="10">
        <f t="shared" si="21"/>
        <v>138939.90779080434</v>
      </c>
    </row>
    <row r="220" spans="2:25" ht="15" hidden="1">
      <c r="B220" s="5"/>
      <c r="C220" s="5"/>
      <c r="D220" s="5"/>
      <c r="E220" s="8">
        <f t="shared" si="29"/>
        <v>0.3185033435593493</v>
      </c>
      <c r="F220" s="11">
        <f t="shared" si="34"/>
        <v>0.07</v>
      </c>
      <c r="G220" s="8">
        <f t="shared" si="34"/>
        <v>0.05</v>
      </c>
      <c r="H220" s="22">
        <f t="shared" si="30"/>
        <v>1.7200538483277512</v>
      </c>
      <c r="I220" s="7">
        <v>82</v>
      </c>
      <c r="J220" s="9">
        <v>17.1</v>
      </c>
      <c r="K220" s="7">
        <f t="shared" si="33"/>
        <v>72</v>
      </c>
      <c r="L220" s="12">
        <f t="shared" si="19"/>
        <v>8772.274626471532</v>
      </c>
      <c r="M220" s="15">
        <f t="shared" si="31"/>
        <v>1938.3796763750452</v>
      </c>
      <c r="N220" s="12">
        <f t="shared" si="22"/>
        <v>162857.3583576048</v>
      </c>
      <c r="O220" s="13">
        <f t="shared" si="23"/>
        <v>-3828.859892665847</v>
      </c>
      <c r="P220" s="10">
        <f t="shared" si="24"/>
        <v>159028.49846493895</v>
      </c>
      <c r="R220" s="7"/>
      <c r="S220" s="7">
        <f t="shared" si="35"/>
        <v>72</v>
      </c>
      <c r="T220" s="12">
        <f t="shared" si="36"/>
        <v>8772.274626471532</v>
      </c>
      <c r="U220" s="12">
        <f t="shared" si="26"/>
        <v>7394.165666147464</v>
      </c>
      <c r="V220" s="12">
        <f t="shared" si="27"/>
        <v>0</v>
      </c>
      <c r="W220" s="15">
        <f t="shared" si="28"/>
        <v>189290.6410533751</v>
      </c>
      <c r="X220" s="13">
        <f t="shared" si="32"/>
        <v>11133.794577184035</v>
      </c>
      <c r="Y220" s="10">
        <f t="shared" si="21"/>
        <v>140134.73355056654</v>
      </c>
    </row>
    <row r="221" spans="2:25" ht="15" hidden="1">
      <c r="B221" s="5"/>
      <c r="C221" s="5"/>
      <c r="D221" s="5"/>
      <c r="E221" s="8">
        <f t="shared" si="29"/>
        <v>0.320095860277146</v>
      </c>
      <c r="F221" s="11">
        <f t="shared" si="34"/>
        <v>0.07</v>
      </c>
      <c r="G221" s="8">
        <f t="shared" si="34"/>
        <v>0.05</v>
      </c>
      <c r="H221" s="22">
        <f t="shared" si="30"/>
        <v>1.806056540744139</v>
      </c>
      <c r="I221" s="7">
        <v>83</v>
      </c>
      <c r="J221" s="9">
        <v>16.3</v>
      </c>
      <c r="K221" s="7">
        <f t="shared" si="33"/>
        <v>73</v>
      </c>
      <c r="L221" s="12">
        <f t="shared" si="19"/>
        <v>9210.88835779511</v>
      </c>
      <c r="M221" s="15">
        <f t="shared" si="31"/>
        <v>3828.859892665847</v>
      </c>
      <c r="N221" s="12">
        <f t="shared" si="22"/>
        <v>172251.15047758893</v>
      </c>
      <c r="O221" s="13">
        <f t="shared" si="23"/>
        <v>-11008.414387364046</v>
      </c>
      <c r="P221" s="10">
        <f t="shared" si="24"/>
        <v>161242.73609022488</v>
      </c>
      <c r="R221" s="7"/>
      <c r="S221" s="7">
        <f t="shared" si="35"/>
        <v>73</v>
      </c>
      <c r="T221" s="12">
        <f t="shared" si="36"/>
        <v>9210.88835779511</v>
      </c>
      <c r="U221" s="12">
        <f t="shared" si="26"/>
        <v>7890.203419540433</v>
      </c>
      <c r="V221" s="12">
        <f t="shared" si="27"/>
        <v>12144.587096904734</v>
      </c>
      <c r="W221" s="15">
        <f t="shared" si="28"/>
        <v>194888.0244626487</v>
      </c>
      <c r="X221" s="13">
        <f t="shared" si="32"/>
        <v>8083.833106842891</v>
      </c>
      <c r="Y221" s="10">
        <f t="shared" si="21"/>
        <v>140589.00772140658</v>
      </c>
    </row>
    <row r="222" spans="2:25" ht="15" hidden="1">
      <c r="B222" s="5"/>
      <c r="C222" s="5"/>
      <c r="D222" s="5"/>
      <c r="E222" s="8">
        <f t="shared" si="29"/>
        <v>0.32169633957853166</v>
      </c>
      <c r="F222" s="11">
        <f t="shared" si="34"/>
        <v>0.07</v>
      </c>
      <c r="G222" s="8">
        <f t="shared" si="34"/>
        <v>0.05</v>
      </c>
      <c r="H222" s="22">
        <f t="shared" si="30"/>
        <v>1.896359367781346</v>
      </c>
      <c r="I222" s="7">
        <v>84</v>
      </c>
      <c r="J222" s="9">
        <v>15.5</v>
      </c>
      <c r="K222" s="7">
        <f t="shared" si="33"/>
        <v>74</v>
      </c>
      <c r="L222" s="12">
        <f t="shared" si="19"/>
        <v>9671.432775684865</v>
      </c>
      <c r="M222" s="15">
        <f t="shared" si="31"/>
        <v>11008.414387364046</v>
      </c>
      <c r="N222" s="12">
        <f t="shared" si="22"/>
        <v>180345.861022111</v>
      </c>
      <c r="O222" s="13">
        <f t="shared" si="23"/>
        <v>-17042.443728630213</v>
      </c>
      <c r="P222" s="10">
        <f t="shared" si="24"/>
        <v>163303.41729348077</v>
      </c>
      <c r="R222" s="7"/>
      <c r="S222" s="7">
        <f t="shared" si="35"/>
        <v>74</v>
      </c>
      <c r="T222" s="12">
        <f t="shared" si="36"/>
        <v>9671.432775684865</v>
      </c>
      <c r="U222" s="12">
        <f t="shared" si="26"/>
        <v>7890.51168027367</v>
      </c>
      <c r="V222" s="12">
        <f t="shared" si="27"/>
        <v>0</v>
      </c>
      <c r="W222" s="15">
        <f t="shared" si="28"/>
        <v>187794.17799051336</v>
      </c>
      <c r="X222" s="13">
        <f t="shared" si="32"/>
        <v>13640.947636584402</v>
      </c>
      <c r="Y222" s="10">
        <f t="shared" si="21"/>
        <v>141022.42597339035</v>
      </c>
    </row>
    <row r="223" spans="2:25" ht="15" hidden="1">
      <c r="B223" s="5"/>
      <c r="C223" s="5"/>
      <c r="D223" s="5"/>
      <c r="E223" s="8">
        <f t="shared" si="29"/>
        <v>0.32330482127642424</v>
      </c>
      <c r="F223" s="11">
        <f t="shared" si="34"/>
        <v>0.07</v>
      </c>
      <c r="G223" s="8">
        <f t="shared" si="34"/>
        <v>0.05</v>
      </c>
      <c r="H223" s="22">
        <f t="shared" si="30"/>
        <v>1.9911773361704133</v>
      </c>
      <c r="I223" s="7">
        <v>85</v>
      </c>
      <c r="J223" s="9">
        <v>14.8</v>
      </c>
      <c r="K223" s="7">
        <f t="shared" si="33"/>
        <v>75</v>
      </c>
      <c r="L223" s="12">
        <f t="shared" si="19"/>
        <v>10155.004414469107</v>
      </c>
      <c r="M223" s="15">
        <f t="shared" si="31"/>
        <v>17042.443728630213</v>
      </c>
      <c r="N223" s="12">
        <f t="shared" si="22"/>
        <v>181576.362402737</v>
      </c>
      <c r="O223" s="13">
        <f t="shared" si="23"/>
        <v>-16482.917971167873</v>
      </c>
      <c r="P223" s="10">
        <f t="shared" si="24"/>
        <v>165093.44443156914</v>
      </c>
      <c r="R223" s="7"/>
      <c r="S223" s="7">
        <f t="shared" si="35"/>
        <v>75</v>
      </c>
      <c r="T223" s="12">
        <f t="shared" si="36"/>
        <v>10155.004414469107</v>
      </c>
      <c r="U223" s="12">
        <f t="shared" si="26"/>
        <v>8418.038902216858</v>
      </c>
      <c r="V223" s="12">
        <f t="shared" si="27"/>
        <v>13421.83216300765</v>
      </c>
      <c r="W223" s="15">
        <f t="shared" si="28"/>
        <v>192773.09086076604</v>
      </c>
      <c r="X223" s="13">
        <f t="shared" si="32"/>
        <v>10126.68603944607</v>
      </c>
      <c r="Y223" s="10">
        <f t="shared" si="21"/>
        <v>140575.30721256827</v>
      </c>
    </row>
    <row r="224" spans="2:25" ht="15" hidden="1">
      <c r="B224" s="5"/>
      <c r="C224" s="5"/>
      <c r="D224" s="5"/>
      <c r="E224" s="8">
        <f t="shared" si="29"/>
        <v>0.3249213453828063</v>
      </c>
      <c r="F224" s="11">
        <f t="shared" si="34"/>
        <v>0.07</v>
      </c>
      <c r="G224" s="8">
        <f t="shared" si="34"/>
        <v>0.05</v>
      </c>
      <c r="H224" s="22">
        <f t="shared" si="30"/>
        <v>2.090736202978934</v>
      </c>
      <c r="I224" s="7">
        <v>86</v>
      </c>
      <c r="J224" s="9">
        <v>14.1</v>
      </c>
      <c r="K224" s="7">
        <f t="shared" si="33"/>
        <v>76</v>
      </c>
      <c r="L224" s="12">
        <f t="shared" si="19"/>
        <v>10662.754635192563</v>
      </c>
      <c r="M224" s="15">
        <f t="shared" si="31"/>
        <v>16482.917971167873</v>
      </c>
      <c r="N224" s="12">
        <f t="shared" si="22"/>
        <v>176647.77851179635</v>
      </c>
      <c r="O224" s="13">
        <f t="shared" si="23"/>
        <v>-10213.128041356213</v>
      </c>
      <c r="P224" s="10">
        <f t="shared" si="24"/>
        <v>166434.65047044013</v>
      </c>
      <c r="R224" s="7"/>
      <c r="S224" s="7">
        <f t="shared" si="35"/>
        <v>76</v>
      </c>
      <c r="T224" s="12">
        <f t="shared" si="36"/>
        <v>10662.754635192563</v>
      </c>
      <c r="U224" s="12">
        <f t="shared" si="26"/>
        <v>8348.315484932376</v>
      </c>
      <c r="V224" s="12">
        <f t="shared" si="27"/>
        <v>0</v>
      </c>
      <c r="W224" s="15">
        <f t="shared" si="28"/>
        <v>183662.94066851228</v>
      </c>
      <c r="X224" s="13">
        <f t="shared" si="32"/>
        <v>16062.63628149326</v>
      </c>
      <c r="Y224" s="10">
        <f t="shared" si="21"/>
        <v>140049.56717102998</v>
      </c>
    </row>
    <row r="225" spans="2:25" ht="15" hidden="1">
      <c r="B225" s="5"/>
      <c r="C225" s="5"/>
      <c r="D225" s="5"/>
      <c r="E225" s="8">
        <f t="shared" si="29"/>
        <v>0.32654595210972037</v>
      </c>
      <c r="F225" s="11">
        <f t="shared" si="34"/>
        <v>0.07</v>
      </c>
      <c r="G225" s="8">
        <f t="shared" si="34"/>
        <v>0.05</v>
      </c>
      <c r="H225" s="22">
        <f t="shared" si="30"/>
        <v>2.195273013127881</v>
      </c>
      <c r="I225" s="7">
        <v>87</v>
      </c>
      <c r="J225" s="9">
        <v>13.4</v>
      </c>
      <c r="K225" s="7">
        <f t="shared" si="33"/>
        <v>77</v>
      </c>
      <c r="L225" s="12">
        <f t="shared" si="19"/>
        <v>11195.892366952192</v>
      </c>
      <c r="M225" s="15">
        <f t="shared" si="31"/>
        <v>10213.128041356213</v>
      </c>
      <c r="N225" s="12">
        <f t="shared" si="22"/>
        <v>171953.30290746334</v>
      </c>
      <c r="O225" s="13">
        <f t="shared" si="23"/>
        <v>-4738.073855804745</v>
      </c>
      <c r="P225" s="10">
        <f t="shared" si="24"/>
        <v>167215.2290516586</v>
      </c>
      <c r="R225" s="7"/>
      <c r="S225" s="7">
        <f t="shared" si="35"/>
        <v>77</v>
      </c>
      <c r="T225" s="12">
        <f t="shared" si="36"/>
        <v>11195.892366952192</v>
      </c>
      <c r="U225" s="12">
        <f t="shared" si="26"/>
        <v>8862.209433415243</v>
      </c>
      <c r="V225" s="12">
        <f t="shared" si="27"/>
        <v>0</v>
      </c>
      <c r="W225" s="15">
        <f t="shared" si="28"/>
        <v>187878.83998840314</v>
      </c>
      <c r="X225" s="13">
        <f t="shared" si="32"/>
        <v>11953.586600220386</v>
      </c>
      <c r="Y225" s="10">
        <f t="shared" si="21"/>
        <v>138481.35190334063</v>
      </c>
    </row>
    <row r="226" spans="2:25" ht="15" hidden="1">
      <c r="B226" s="5"/>
      <c r="C226" s="5"/>
      <c r="D226" s="5"/>
      <c r="E226" s="8">
        <f t="shared" si="29"/>
        <v>0.32817868187026883</v>
      </c>
      <c r="F226" s="11">
        <f t="shared" si="34"/>
        <v>0.07</v>
      </c>
      <c r="G226" s="8">
        <f t="shared" si="34"/>
        <v>0.05</v>
      </c>
      <c r="H226" s="22">
        <f t="shared" si="30"/>
        <v>2.305036663784275</v>
      </c>
      <c r="I226" s="7">
        <v>88</v>
      </c>
      <c r="J226" s="9">
        <v>12.7</v>
      </c>
      <c r="K226" s="7">
        <f t="shared" si="33"/>
        <v>78</v>
      </c>
      <c r="L226" s="12">
        <f t="shared" si="19"/>
        <v>11755.686985299802</v>
      </c>
      <c r="M226" s="15">
        <f t="shared" si="31"/>
        <v>4738.073855804745</v>
      </c>
      <c r="N226" s="12">
        <f t="shared" si="22"/>
        <v>173419.4465881821</v>
      </c>
      <c r="O226" s="13">
        <f t="shared" si="23"/>
        <v>-5967.364064080177</v>
      </c>
      <c r="P226" s="10">
        <f t="shared" si="24"/>
        <v>167452.08252410192</v>
      </c>
      <c r="R226" s="7"/>
      <c r="S226" s="7">
        <f t="shared" si="35"/>
        <v>78</v>
      </c>
      <c r="T226" s="12">
        <f t="shared" si="36"/>
        <v>11755.686985299802</v>
      </c>
      <c r="U226" s="12">
        <f t="shared" si="26"/>
        <v>9451.131626798353</v>
      </c>
      <c r="V226" s="12">
        <f t="shared" si="27"/>
        <v>15594.458984618374</v>
      </c>
      <c r="W226" s="15">
        <f t="shared" si="28"/>
        <v>191857.97202400657</v>
      </c>
      <c r="X226" s="13">
        <f t="shared" si="32"/>
        <v>7462.492295312298</v>
      </c>
      <c r="Y226" s="10">
        <f t="shared" si="21"/>
        <v>136356.76795417749</v>
      </c>
    </row>
    <row r="227" spans="2:25" ht="15" hidden="1">
      <c r="B227" s="5"/>
      <c r="C227" s="5"/>
      <c r="D227" s="5"/>
      <c r="E227" s="8">
        <f t="shared" si="29"/>
        <v>0.3298195752796202</v>
      </c>
      <c r="F227" s="11">
        <f t="shared" si="34"/>
        <v>0.07</v>
      </c>
      <c r="G227" s="8">
        <f t="shared" si="34"/>
        <v>0.05</v>
      </c>
      <c r="H227" s="22">
        <f t="shared" si="30"/>
        <v>2.420288496973489</v>
      </c>
      <c r="I227" s="7">
        <v>89</v>
      </c>
      <c r="J227" s="9">
        <v>12</v>
      </c>
      <c r="K227" s="7">
        <f t="shared" si="33"/>
        <v>79</v>
      </c>
      <c r="L227" s="12">
        <f t="shared" si="19"/>
        <v>12343.471334564792</v>
      </c>
      <c r="M227" s="15">
        <f t="shared" si="31"/>
        <v>5967.364064080177</v>
      </c>
      <c r="N227" s="12">
        <f t="shared" si="22"/>
        <v>180654.90140859695</v>
      </c>
      <c r="O227" s="13">
        <f t="shared" si="23"/>
        <v>-13430.617734562924</v>
      </c>
      <c r="P227" s="10">
        <f t="shared" si="24"/>
        <v>167224.28367403403</v>
      </c>
      <c r="R227" s="7"/>
      <c r="S227" s="7">
        <f t="shared" si="35"/>
        <v>79</v>
      </c>
      <c r="T227" s="12">
        <f t="shared" si="36"/>
        <v>12343.471334564792</v>
      </c>
      <c r="U227" s="12">
        <f t="shared" si="26"/>
        <v>9198.248399121574</v>
      </c>
      <c r="V227" s="12">
        <f t="shared" si="27"/>
        <v>0</v>
      </c>
      <c r="W227" s="15">
        <f t="shared" si="28"/>
        <v>179365.8437828707</v>
      </c>
      <c r="X227" s="13">
        <f t="shared" si="32"/>
        <v>13844.405009647704</v>
      </c>
      <c r="Y227" s="10">
        <f t="shared" si="21"/>
        <v>134051.88237638128</v>
      </c>
    </row>
    <row r="228" spans="2:25" ht="15" hidden="1">
      <c r="B228" s="5"/>
      <c r="C228" s="5"/>
      <c r="D228" s="5"/>
      <c r="E228" s="8">
        <f t="shared" si="29"/>
        <v>0.33146867315601825</v>
      </c>
      <c r="F228" s="11">
        <f t="shared" si="34"/>
        <v>0.07</v>
      </c>
      <c r="G228" s="8">
        <f t="shared" si="34"/>
        <v>0.05</v>
      </c>
      <c r="H228" s="22">
        <f t="shared" si="30"/>
        <v>2.5413029218221634</v>
      </c>
      <c r="I228" s="7">
        <v>90</v>
      </c>
      <c r="J228" s="9">
        <v>11.4</v>
      </c>
      <c r="K228" s="7">
        <f t="shared" si="33"/>
        <v>80</v>
      </c>
      <c r="L228" s="12">
        <f t="shared" si="19"/>
        <v>12960.644901293033</v>
      </c>
      <c r="M228" s="15">
        <f t="shared" si="31"/>
        <v>13430.617734562924</v>
      </c>
      <c r="N228" s="12">
        <f t="shared" si="22"/>
        <v>187124.52270087576</v>
      </c>
      <c r="O228" s="13">
        <f t="shared" si="23"/>
        <v>-20586.350581630853</v>
      </c>
      <c r="P228" s="10">
        <f t="shared" si="24"/>
        <v>166538.1721192449</v>
      </c>
      <c r="R228" s="7"/>
      <c r="S228" s="7">
        <f t="shared" si="35"/>
        <v>80</v>
      </c>
      <c r="T228" s="12">
        <f t="shared" si="36"/>
        <v>12960.644901293033</v>
      </c>
      <c r="U228" s="12">
        <f t="shared" si="26"/>
        <v>9754.078382597907</v>
      </c>
      <c r="V228" s="12">
        <f t="shared" si="27"/>
        <v>17235.319297987477</v>
      </c>
      <c r="W228" s="15">
        <f t="shared" si="28"/>
        <v>182401.26575458085</v>
      </c>
      <c r="X228" s="13">
        <f t="shared" si="32"/>
        <v>8480.453241424842</v>
      </c>
      <c r="Y228" s="10">
        <f t="shared" si="21"/>
        <v>130421.4134543565</v>
      </c>
    </row>
    <row r="229" spans="2:25" ht="15" hidden="1">
      <c r="B229" s="5"/>
      <c r="C229" s="5"/>
      <c r="D229" s="5"/>
      <c r="E229" s="8">
        <f t="shared" si="29"/>
        <v>0.33312601652179824</v>
      </c>
      <c r="F229" s="11">
        <f t="shared" si="34"/>
        <v>0.07</v>
      </c>
      <c r="G229" s="8">
        <f t="shared" si="34"/>
        <v>0.05</v>
      </c>
      <c r="H229" s="22">
        <f t="shared" si="30"/>
        <v>2.6683680679132715</v>
      </c>
      <c r="I229" s="7">
        <v>91</v>
      </c>
      <c r="J229" s="9">
        <v>10.8</v>
      </c>
      <c r="K229" s="7">
        <f t="shared" si="33"/>
        <v>81</v>
      </c>
      <c r="L229" s="12">
        <f t="shared" si="19"/>
        <v>13608.677146357684</v>
      </c>
      <c r="M229" s="15">
        <f t="shared" si="31"/>
        <v>20586.350581630853</v>
      </c>
      <c r="N229" s="12">
        <f t="shared" si="22"/>
        <v>186322.54993466448</v>
      </c>
      <c r="O229" s="13">
        <f t="shared" si="23"/>
        <v>-21068.764462542644</v>
      </c>
      <c r="P229" s="10">
        <f t="shared" si="24"/>
        <v>165253.78547212185</v>
      </c>
      <c r="R229" s="7"/>
      <c r="S229" s="7">
        <f t="shared" si="35"/>
        <v>81</v>
      </c>
      <c r="T229" s="12">
        <f t="shared" si="36"/>
        <v>13608.677146357684</v>
      </c>
      <c r="U229" s="12">
        <f t="shared" si="26"/>
        <v>9342.755740670147</v>
      </c>
      <c r="V229" s="12">
        <f t="shared" si="27"/>
        <v>0</v>
      </c>
      <c r="W229" s="15">
        <f t="shared" si="28"/>
        <v>167235.32775799563</v>
      </c>
      <c r="X229" s="13">
        <f t="shared" si="32"/>
        <v>14994.400292778799</v>
      </c>
      <c r="Y229" s="10">
        <f t="shared" si="21"/>
        <v>126519.28949303603</v>
      </c>
    </row>
    <row r="230" spans="2:25" ht="15" hidden="1">
      <c r="B230" s="5"/>
      <c r="C230" s="5"/>
      <c r="D230" s="5"/>
      <c r="E230" s="8">
        <f t="shared" si="29"/>
        <v>0.3347916466044072</v>
      </c>
      <c r="F230" s="11">
        <f t="shared" si="34"/>
        <v>0.07</v>
      </c>
      <c r="G230" s="8">
        <f t="shared" si="34"/>
        <v>0.05</v>
      </c>
      <c r="H230" s="22">
        <f t="shared" si="30"/>
        <v>2.8017864713089353</v>
      </c>
      <c r="I230" s="7">
        <v>92</v>
      </c>
      <c r="J230" s="9">
        <v>10.2</v>
      </c>
      <c r="K230" s="7">
        <f t="shared" si="33"/>
        <v>82</v>
      </c>
      <c r="L230" s="12">
        <f t="shared" si="19"/>
        <v>14289.11100367557</v>
      </c>
      <c r="M230" s="15">
        <f t="shared" si="31"/>
        <v>21068.764462542644</v>
      </c>
      <c r="N230" s="12">
        <f t="shared" si="22"/>
        <v>178058.2555781031</v>
      </c>
      <c r="O230" s="13">
        <f t="shared" si="23"/>
        <v>-14911.742778384785</v>
      </c>
      <c r="P230" s="10">
        <f t="shared" si="24"/>
        <v>163146.5127997183</v>
      </c>
      <c r="R230" s="7"/>
      <c r="S230" s="7">
        <f t="shared" si="35"/>
        <v>82</v>
      </c>
      <c r="T230" s="12">
        <f t="shared" si="36"/>
        <v>14289.11100367557</v>
      </c>
      <c r="U230" s="12">
        <f t="shared" si="26"/>
        <v>9898.95020523168</v>
      </c>
      <c r="V230" s="12">
        <f t="shared" si="27"/>
        <v>19049.185631967808</v>
      </c>
      <c r="W230" s="15">
        <f t="shared" si="28"/>
        <v>169272.04850946175</v>
      </c>
      <c r="X230" s="13">
        <f t="shared" si="32"/>
        <v>8462.403605893249</v>
      </c>
      <c r="Y230" s="10">
        <f t="shared" si="21"/>
        <v>121063.58427077121</v>
      </c>
    </row>
    <row r="231" spans="2:25" ht="15" hidden="1">
      <c r="B231" s="5"/>
      <c r="C231" s="5"/>
      <c r="D231" s="5"/>
      <c r="E231" s="8">
        <f t="shared" si="29"/>
        <v>0.33646560483742916</v>
      </c>
      <c r="F231" s="11">
        <f aca="true" t="shared" si="37" ref="F231:G246">F230</f>
        <v>0.07</v>
      </c>
      <c r="G231" s="8">
        <f t="shared" si="37"/>
        <v>0.05</v>
      </c>
      <c r="H231" s="22">
        <f t="shared" si="30"/>
        <v>2.9418757948743823</v>
      </c>
      <c r="I231" s="7">
        <v>93</v>
      </c>
      <c r="J231" s="9">
        <v>9.6</v>
      </c>
      <c r="K231" s="7">
        <f t="shared" si="33"/>
        <v>83</v>
      </c>
      <c r="L231" s="12">
        <f t="shared" si="19"/>
        <v>15003.56655385935</v>
      </c>
      <c r="M231" s="15">
        <f t="shared" si="31"/>
        <v>14911.742778384785</v>
      </c>
      <c r="N231" s="12">
        <f t="shared" si="22"/>
        <v>168716.16224983867</v>
      </c>
      <c r="O231" s="13">
        <f t="shared" si="23"/>
        <v>-8668.602555719672</v>
      </c>
      <c r="P231" s="10">
        <f t="shared" si="24"/>
        <v>160047.559694119</v>
      </c>
      <c r="R231" s="7"/>
      <c r="S231" s="7">
        <f t="shared" si="35"/>
        <v>83</v>
      </c>
      <c r="T231" s="12">
        <f t="shared" si="36"/>
        <v>15003.56655385935</v>
      </c>
      <c r="U231" s="12">
        <f t="shared" si="26"/>
        <v>9273.605602062738</v>
      </c>
      <c r="V231" s="12">
        <f t="shared" si="27"/>
        <v>20026.635305364733</v>
      </c>
      <c r="W231" s="15">
        <f t="shared" si="28"/>
        <v>151159.77131362265</v>
      </c>
      <c r="X231" s="13">
        <f t="shared" si="32"/>
        <v>14931.259520620155</v>
      </c>
      <c r="Y231" s="10">
        <f t="shared" si="21"/>
        <v>115230.96695211729</v>
      </c>
    </row>
    <row r="232" spans="2:25" ht="15" hidden="1">
      <c r="B232" s="5"/>
      <c r="C232" s="5"/>
      <c r="D232" s="5"/>
      <c r="E232" s="8">
        <f t="shared" si="29"/>
        <v>0.3381479328616163</v>
      </c>
      <c r="F232" s="11">
        <f t="shared" si="37"/>
        <v>0.07</v>
      </c>
      <c r="G232" s="8">
        <f t="shared" si="37"/>
        <v>0.05</v>
      </c>
      <c r="H232" s="22">
        <f t="shared" si="30"/>
        <v>3.0889695846181016</v>
      </c>
      <c r="I232" s="7">
        <v>94</v>
      </c>
      <c r="J232" s="9">
        <v>9.1</v>
      </c>
      <c r="K232" s="7">
        <f t="shared" si="33"/>
        <v>84</v>
      </c>
      <c r="L232" s="12">
        <f t="shared" si="19"/>
        <v>15753.744881552318</v>
      </c>
      <c r="M232" s="15">
        <f t="shared" si="31"/>
        <v>8668.602555719672</v>
      </c>
      <c r="N232" s="12">
        <f t="shared" si="22"/>
        <v>165092.63983169917</v>
      </c>
      <c r="O232" s="13">
        <f t="shared" si="23"/>
        <v>-9165.192936120466</v>
      </c>
      <c r="P232" s="10">
        <f t="shared" si="24"/>
        <v>155927.4468955787</v>
      </c>
      <c r="R232" s="7"/>
      <c r="S232" s="7">
        <f t="shared" si="35"/>
        <v>84</v>
      </c>
      <c r="T232" s="12">
        <f t="shared" si="36"/>
        <v>15753.744881552318</v>
      </c>
      <c r="U232" s="12">
        <f t="shared" si="26"/>
        <v>8478.400384928313</v>
      </c>
      <c r="V232" s="12">
        <f t="shared" si="27"/>
        <v>0</v>
      </c>
      <c r="W232" s="15">
        <f t="shared" si="28"/>
        <v>131415.20596638884</v>
      </c>
      <c r="X232" s="13">
        <f t="shared" si="32"/>
        <v>21174.746669720167</v>
      </c>
      <c r="Y232" s="10">
        <f t="shared" si="21"/>
        <v>108152.17239199107</v>
      </c>
    </row>
    <row r="233" spans="2:25" ht="15" hidden="1">
      <c r="B233" s="5"/>
      <c r="C233" s="5"/>
      <c r="D233" s="5"/>
      <c r="E233" s="8">
        <f t="shared" si="29"/>
        <v>0.3398386725259243</v>
      </c>
      <c r="F233" s="11">
        <f t="shared" si="37"/>
        <v>0.07</v>
      </c>
      <c r="G233" s="8">
        <f t="shared" si="37"/>
        <v>0.05</v>
      </c>
      <c r="H233" s="22">
        <f t="shared" si="30"/>
        <v>3.2434180638490067</v>
      </c>
      <c r="I233" s="7">
        <v>95</v>
      </c>
      <c r="J233" s="9">
        <v>8.6</v>
      </c>
      <c r="K233" s="7">
        <f t="shared" si="33"/>
        <v>85</v>
      </c>
      <c r="L233" s="12">
        <f t="shared" si="19"/>
        <v>16541.432125629934</v>
      </c>
      <c r="M233" s="15">
        <f t="shared" si="31"/>
        <v>9165.192936120466</v>
      </c>
      <c r="N233" s="12">
        <f t="shared" si="22"/>
        <v>167677.12097474825</v>
      </c>
      <c r="O233" s="13">
        <f t="shared" si="23"/>
        <v>-16839.081457588927</v>
      </c>
      <c r="P233" s="10">
        <f t="shared" si="24"/>
        <v>150838.0395171593</v>
      </c>
      <c r="R233" s="7"/>
      <c r="S233" s="7">
        <f t="shared" si="35"/>
        <v>85</v>
      </c>
      <c r="T233" s="12">
        <f t="shared" si="36"/>
        <v>16541.432125629934</v>
      </c>
      <c r="U233" s="12">
        <f t="shared" si="26"/>
        <v>8908.049053083461</v>
      </c>
      <c r="V233" s="12">
        <f t="shared" si="27"/>
        <v>22134.883205482427</v>
      </c>
      <c r="W233" s="15">
        <f t="shared" si="28"/>
        <v>131839.12598563524</v>
      </c>
      <c r="X233" s="13">
        <f t="shared" si="32"/>
        <v>12071.859169390365</v>
      </c>
      <c r="Y233" s="10">
        <f t="shared" si="21"/>
        <v>99106.95159308924</v>
      </c>
    </row>
    <row r="234" spans="2:25" ht="15" hidden="1">
      <c r="B234" s="5"/>
      <c r="C234" s="5"/>
      <c r="D234" s="5"/>
      <c r="E234" s="8">
        <f t="shared" si="29"/>
        <v>0.3415378658885539</v>
      </c>
      <c r="F234" s="11">
        <f t="shared" si="37"/>
        <v>0.07</v>
      </c>
      <c r="G234" s="8">
        <f t="shared" si="37"/>
        <v>0.05</v>
      </c>
      <c r="H234" s="22">
        <f t="shared" si="30"/>
        <v>3.405588967041457</v>
      </c>
      <c r="I234" s="7">
        <v>96</v>
      </c>
      <c r="J234" s="9">
        <v>8.1</v>
      </c>
      <c r="K234" s="7">
        <f t="shared" si="33"/>
        <v>86</v>
      </c>
      <c r="L234" s="12">
        <f t="shared" si="19"/>
        <v>17368.50373191143</v>
      </c>
      <c r="M234" s="15">
        <f t="shared" si="31"/>
        <v>16839.081457588927</v>
      </c>
      <c r="N234" s="12">
        <f t="shared" si="22"/>
        <v>169928.544754096</v>
      </c>
      <c r="O234" s="13">
        <f t="shared" si="23"/>
        <v>-25163.909147821367</v>
      </c>
      <c r="P234" s="10">
        <f t="shared" si="24"/>
        <v>144764.63560627462</v>
      </c>
      <c r="R234" s="7"/>
      <c r="S234" s="7">
        <f t="shared" si="35"/>
        <v>86</v>
      </c>
      <c r="T234" s="12">
        <f t="shared" si="36"/>
        <v>17368.50373191143</v>
      </c>
      <c r="U234" s="12">
        <f t="shared" si="26"/>
        <v>7726.129781348513</v>
      </c>
      <c r="V234" s="12">
        <f t="shared" si="27"/>
        <v>0</v>
      </c>
      <c r="W234" s="15">
        <f t="shared" si="28"/>
        <v>108938.42991701403</v>
      </c>
      <c r="X234" s="13">
        <f t="shared" si="32"/>
        <v>17752.27249261986</v>
      </c>
      <c r="Y234" s="10">
        <f t="shared" si="21"/>
        <v>89484.10354252711</v>
      </c>
    </row>
    <row r="235" spans="2:25" ht="15" hidden="1">
      <c r="B235" s="5"/>
      <c r="C235" s="5"/>
      <c r="D235" s="5"/>
      <c r="E235" s="8">
        <f t="shared" si="29"/>
        <v>0.34324555521799666</v>
      </c>
      <c r="F235" s="11">
        <f t="shared" si="37"/>
        <v>0.07</v>
      </c>
      <c r="G235" s="8">
        <f t="shared" si="37"/>
        <v>0.05</v>
      </c>
      <c r="H235" s="22">
        <f t="shared" si="30"/>
        <v>3.57586841539353</v>
      </c>
      <c r="I235" s="7">
        <v>97</v>
      </c>
      <c r="J235" s="9">
        <v>7.6</v>
      </c>
      <c r="K235" s="7">
        <f t="shared" si="33"/>
        <v>87</v>
      </c>
      <c r="L235" s="12">
        <f t="shared" si="19"/>
        <v>18236.928918507005</v>
      </c>
      <c r="M235" s="15">
        <f t="shared" si="31"/>
        <v>25163.909147821367</v>
      </c>
      <c r="N235" s="12">
        <f t="shared" si="22"/>
        <v>164395.09357827817</v>
      </c>
      <c r="O235" s="13">
        <f t="shared" si="23"/>
        <v>-26865.396272769023</v>
      </c>
      <c r="P235" s="10">
        <f t="shared" si="24"/>
        <v>137529.69730550915</v>
      </c>
      <c r="R235" s="7"/>
      <c r="S235" s="7">
        <f t="shared" si="35"/>
        <v>87</v>
      </c>
      <c r="T235" s="12">
        <f t="shared" si="36"/>
        <v>18236.928918507005</v>
      </c>
      <c r="U235" s="12">
        <f t="shared" si="26"/>
        <v>8102.05788712756</v>
      </c>
      <c r="V235" s="12">
        <f t="shared" si="27"/>
        <v>24465.53070169514</v>
      </c>
      <c r="W235" s="15">
        <f t="shared" si="28"/>
        <v>108567.5756875093</v>
      </c>
      <c r="X235" s="13">
        <f t="shared" si="32"/>
        <v>6276.301250853898</v>
      </c>
      <c r="Y235" s="10">
        <f t="shared" si="21"/>
        <v>77578.53914283219</v>
      </c>
    </row>
    <row r="236" spans="2:25" ht="15" hidden="1">
      <c r="B236" s="5"/>
      <c r="C236" s="5"/>
      <c r="D236" s="5"/>
      <c r="E236" s="8">
        <f t="shared" si="29"/>
        <v>0.34496178299408653</v>
      </c>
      <c r="F236" s="11">
        <f t="shared" si="37"/>
        <v>0.07</v>
      </c>
      <c r="G236" s="8">
        <f t="shared" si="37"/>
        <v>0.05</v>
      </c>
      <c r="H236" s="22">
        <f t="shared" si="30"/>
        <v>3.7546618361632067</v>
      </c>
      <c r="I236" s="7">
        <v>98</v>
      </c>
      <c r="J236" s="9">
        <v>7.1</v>
      </c>
      <c r="K236" s="7">
        <f t="shared" si="33"/>
        <v>88</v>
      </c>
      <c r="L236" s="12">
        <f t="shared" si="19"/>
        <v>19148.775364432353</v>
      </c>
      <c r="M236" s="15">
        <f t="shared" si="31"/>
        <v>26865.396272769023</v>
      </c>
      <c r="N236" s="12">
        <f t="shared" si="22"/>
        <v>149858.10416076254</v>
      </c>
      <c r="O236" s="13">
        <f t="shared" si="23"/>
        <v>-21014.26745545445</v>
      </c>
      <c r="P236" s="10">
        <f t="shared" si="24"/>
        <v>128843.83670530809</v>
      </c>
      <c r="R236" s="7"/>
      <c r="S236" s="7">
        <f t="shared" si="35"/>
        <v>88</v>
      </c>
      <c r="T236" s="12">
        <f t="shared" si="36"/>
        <v>19148.775364432353</v>
      </c>
      <c r="U236" s="12">
        <f t="shared" si="26"/>
        <v>6492.9017162364935</v>
      </c>
      <c r="V236" s="12">
        <f t="shared" si="27"/>
        <v>25721.507396141635</v>
      </c>
      <c r="W236" s="15">
        <f t="shared" si="28"/>
        <v>82459.85179620347</v>
      </c>
      <c r="X236" s="13">
        <f t="shared" si="32"/>
        <v>10932.836558342635</v>
      </c>
      <c r="Y236" s="10">
        <f t="shared" si="21"/>
        <v>64947.190853499626</v>
      </c>
    </row>
    <row r="237" spans="2:25" ht="15" hidden="1">
      <c r="B237" s="5"/>
      <c r="C237" s="5"/>
      <c r="D237" s="5"/>
      <c r="E237" s="8">
        <f t="shared" si="29"/>
        <v>0.34668659190905693</v>
      </c>
      <c r="F237" s="11">
        <f t="shared" si="37"/>
        <v>0.07</v>
      </c>
      <c r="G237" s="8">
        <f t="shared" si="37"/>
        <v>0.05</v>
      </c>
      <c r="H237" s="22">
        <f t="shared" si="30"/>
        <v>3.942394927971367</v>
      </c>
      <c r="I237" s="7">
        <v>99</v>
      </c>
      <c r="J237" s="9">
        <v>6.7</v>
      </c>
      <c r="K237" s="7">
        <f t="shared" si="33"/>
        <v>89</v>
      </c>
      <c r="L237" s="12">
        <f t="shared" si="19"/>
        <v>20106.21413265397</v>
      </c>
      <c r="M237" s="15">
        <f t="shared" si="31"/>
        <v>21014.26745545445</v>
      </c>
      <c r="N237" s="12">
        <f t="shared" si="22"/>
        <v>132542.48630969998</v>
      </c>
      <c r="O237" s="13">
        <f t="shared" si="23"/>
        <v>-14084.29307107846</v>
      </c>
      <c r="P237" s="10">
        <f t="shared" si="24"/>
        <v>118458.19323862152</v>
      </c>
      <c r="R237" s="7"/>
      <c r="S237" s="7">
        <f t="shared" si="35"/>
        <v>89</v>
      </c>
      <c r="T237" s="12">
        <f t="shared" si="36"/>
        <v>20106.21413265397</v>
      </c>
      <c r="U237" s="12">
        <f t="shared" si="26"/>
        <v>4574.177332552195</v>
      </c>
      <c r="V237" s="12">
        <f t="shared" si="27"/>
        <v>27042.089609115188</v>
      </c>
      <c r="W237" s="15">
        <f t="shared" si="28"/>
        <v>54890.127990626344</v>
      </c>
      <c r="X237" s="13">
        <f t="shared" si="32"/>
        <v>14568.554249075887</v>
      </c>
      <c r="Y237" s="10">
        <f t="shared" si="21"/>
        <v>50429.01083718005</v>
      </c>
    </row>
    <row r="238" spans="2:25" ht="15" hidden="1">
      <c r="B238" s="5"/>
      <c r="C238" s="5"/>
      <c r="D238" s="5"/>
      <c r="E238" s="8">
        <f t="shared" si="29"/>
        <v>0.3484200248686022</v>
      </c>
      <c r="F238" s="11">
        <f t="shared" si="37"/>
        <v>0.07</v>
      </c>
      <c r="G238" s="8">
        <f t="shared" si="37"/>
        <v>0.05</v>
      </c>
      <c r="H238" s="22">
        <f t="shared" si="30"/>
        <v>4.139514674369935</v>
      </c>
      <c r="I238" s="7">
        <v>100</v>
      </c>
      <c r="J238" s="9">
        <v>6.3</v>
      </c>
      <c r="K238" s="7">
        <f t="shared" si="33"/>
        <v>90</v>
      </c>
      <c r="L238" s="12">
        <f t="shared" si="19"/>
        <v>21111.52483928667</v>
      </c>
      <c r="M238" s="15">
        <f t="shared" si="31"/>
        <v>14084.29307107846</v>
      </c>
      <c r="N238" s="12">
        <f t="shared" si="22"/>
        <v>120070.69353498363</v>
      </c>
      <c r="O238" s="13">
        <f t="shared" si="23"/>
        <v>-13799.578254368585</v>
      </c>
      <c r="P238" s="10">
        <f t="shared" si="24"/>
        <v>106271.11528061505</v>
      </c>
      <c r="R238" s="7"/>
      <c r="S238" s="7">
        <f t="shared" si="35"/>
        <v>90</v>
      </c>
      <c r="T238" s="12">
        <f t="shared" si="36"/>
        <v>21111.52483928667</v>
      </c>
      <c r="U238" s="12">
        <f t="shared" si="26"/>
        <v>2281.5439180126705</v>
      </c>
      <c r="V238" s="12">
        <f t="shared" si="27"/>
        <v>28430.607435822367</v>
      </c>
      <c r="W238" s="15">
        <f t="shared" si="28"/>
        <v>26009.600665344446</v>
      </c>
      <c r="X238" s="13">
        <f t="shared" si="32"/>
        <v>16917.63236867918</v>
      </c>
      <c r="Y238" s="10">
        <f t="shared" si="21"/>
        <v>33864.967323381905</v>
      </c>
    </row>
    <row r="239" spans="2:25" ht="15" hidden="1">
      <c r="B239" s="5"/>
      <c r="C239" s="5"/>
      <c r="D239" s="5"/>
      <c r="E239" s="8">
        <f t="shared" si="29"/>
        <v>0.3501621249929451</v>
      </c>
      <c r="F239" s="11">
        <f t="shared" si="37"/>
        <v>0.07</v>
      </c>
      <c r="G239" s="8">
        <f t="shared" si="37"/>
        <v>0.05</v>
      </c>
      <c r="H239" s="22">
        <f t="shared" si="30"/>
        <v>4.346490408088432</v>
      </c>
      <c r="I239" s="7">
        <v>101</v>
      </c>
      <c r="J239" s="9">
        <v>5.9</v>
      </c>
      <c r="K239" s="7">
        <f t="shared" si="33"/>
        <v>91</v>
      </c>
      <c r="L239" s="12">
        <f t="shared" si="19"/>
        <v>22167.101081251003</v>
      </c>
      <c r="M239" s="15">
        <f t="shared" si="31"/>
        <v>13799.578254368585</v>
      </c>
      <c r="N239" s="12">
        <f t="shared" si="22"/>
        <v>113898.39875386629</v>
      </c>
      <c r="O239" s="13">
        <f t="shared" si="23"/>
        <v>-21616.475165010168</v>
      </c>
      <c r="P239" s="10">
        <f t="shared" si="24"/>
        <v>92281.92358885612</v>
      </c>
      <c r="R239" s="7"/>
      <c r="S239" s="7">
        <f t="shared" si="35"/>
        <v>91</v>
      </c>
      <c r="T239" s="12">
        <f t="shared" si="36"/>
        <v>22167.101081251003</v>
      </c>
      <c r="U239" s="12">
        <f t="shared" si="26"/>
        <v>0</v>
      </c>
      <c r="V239" s="12">
        <f t="shared" si="27"/>
        <v>29890.562991245297</v>
      </c>
      <c r="W239" s="15">
        <f t="shared" si="28"/>
        <v>-3956.8039393007057</v>
      </c>
      <c r="X239" s="13">
        <f t="shared" si="32"/>
        <v>17658.54170786165</v>
      </c>
      <c r="Y239" s="10">
        <f t="shared" si="21"/>
        <v>15087.260644126934</v>
      </c>
    </row>
    <row r="240" spans="2:25" ht="15" hidden="1">
      <c r="B240" s="5"/>
      <c r="C240" s="5"/>
      <c r="D240" s="5"/>
      <c r="E240" s="8">
        <f t="shared" si="29"/>
        <v>0.35191293561790976</v>
      </c>
      <c r="F240" s="11">
        <f t="shared" si="37"/>
        <v>0.07</v>
      </c>
      <c r="G240" s="8">
        <f t="shared" si="37"/>
        <v>0.05</v>
      </c>
      <c r="H240" s="22">
        <f t="shared" si="30"/>
        <v>4.563814928492853</v>
      </c>
      <c r="I240" s="7">
        <v>102</v>
      </c>
      <c r="J240" s="9">
        <v>5.5</v>
      </c>
      <c r="K240" s="7">
        <f t="shared" si="33"/>
        <v>92</v>
      </c>
      <c r="L240" s="12">
        <f aca="true" t="shared" si="38" ref="L240:L271">IF(K240&lt;$B$22,0,$B$77*H240/$H$208)</f>
        <v>23275.45613531355</v>
      </c>
      <c r="M240" s="15">
        <f t="shared" si="31"/>
        <v>21616.475165010168</v>
      </c>
      <c r="N240" s="12">
        <f t="shared" si="22"/>
        <v>107588.72317336545</v>
      </c>
      <c r="O240" s="13">
        <f t="shared" si="23"/>
        <v>-31157.61595579</v>
      </c>
      <c r="P240" s="10">
        <f t="shared" si="24"/>
        <v>76431.10721757545</v>
      </c>
      <c r="R240" s="7"/>
      <c r="S240" s="7">
        <f t="shared" si="35"/>
        <v>92</v>
      </c>
      <c r="T240" s="12">
        <f t="shared" si="36"/>
        <v>23275.45613531355</v>
      </c>
      <c r="U240" s="12">
        <f t="shared" si="26"/>
        <v>0</v>
      </c>
      <c r="V240" s="12">
        <f t="shared" si="27"/>
        <v>0</v>
      </c>
      <c r="W240" s="15">
        <f t="shared" si="28"/>
        <v>-35170.51291099064</v>
      </c>
      <c r="X240" s="13">
        <f t="shared" si="32"/>
        <v>16726.794029950448</v>
      </c>
      <c r="Y240" s="10">
        <f aca="true" t="shared" si="39" ref="Y240:Y271">W240*(1-E240)+X240</f>
        <v>-6066.760435345877</v>
      </c>
    </row>
    <row r="241" spans="2:25" ht="15" hidden="1">
      <c r="B241" s="5"/>
      <c r="C241" s="5"/>
      <c r="D241" s="5"/>
      <c r="E241" s="8">
        <f t="shared" si="29"/>
        <v>0.3536725002959992</v>
      </c>
      <c r="F241" s="11">
        <f t="shared" si="37"/>
        <v>0.07</v>
      </c>
      <c r="G241" s="8">
        <f t="shared" si="37"/>
        <v>0.05</v>
      </c>
      <c r="H241" s="22">
        <f t="shared" si="30"/>
        <v>4.792005674917496</v>
      </c>
      <c r="I241" s="7">
        <v>103</v>
      </c>
      <c r="J241" s="9">
        <v>5.2</v>
      </c>
      <c r="K241" s="7">
        <f t="shared" si="33"/>
        <v>93</v>
      </c>
      <c r="L241" s="12">
        <f t="shared" si="38"/>
        <v>24439.22894207923</v>
      </c>
      <c r="M241" s="15">
        <f t="shared" si="31"/>
        <v>31157.61595579</v>
      </c>
      <c r="N241" s="12">
        <f aca="true" t="shared" si="40" ref="N241:N274">(N240-0.5*M240)*(1+F240)-0.5*M240</f>
        <v>92746.88199971551</v>
      </c>
      <c r="O241" s="13">
        <f aca="true" t="shared" si="41" ref="O241:O274">(O240-0.5*L240+0.5*M240)*(1+F240*(1-E240))-0.5*L240+0.5*M240</f>
        <v>-34267.72701989049</v>
      </c>
      <c r="P241" s="10">
        <f t="shared" si="24"/>
        <v>58479.15497982502</v>
      </c>
      <c r="R241" s="7"/>
      <c r="S241" s="7">
        <f t="shared" si="35"/>
        <v>93</v>
      </c>
      <c r="T241" s="12">
        <f t="shared" si="36"/>
        <v>24439.22894207923</v>
      </c>
      <c r="U241" s="12">
        <f t="shared" si="26"/>
        <v>0</v>
      </c>
      <c r="V241" s="12">
        <f aca="true" t="shared" si="42" ref="V241:V274">IF(W240&lt;T241,0,IF(X241&gt;T241,0,T241*(1+E240)))</f>
        <v>0</v>
      </c>
      <c r="W241" s="15">
        <f aca="true" t="shared" si="43" ref="W241:W274">(W240-0.5*V240-0.5*U240)*(1+F240)-0.5*V240-0.5*U240</f>
        <v>-37632.44881475999</v>
      </c>
      <c r="X241" s="13">
        <f t="shared" si="32"/>
        <v>-6317.791057966622</v>
      </c>
      <c r="Y241" s="10">
        <f t="shared" si="39"/>
        <v>-30640.677608149235</v>
      </c>
    </row>
    <row r="242" spans="2:25" ht="15" hidden="1">
      <c r="B242" s="5"/>
      <c r="C242" s="5"/>
      <c r="D242" s="5"/>
      <c r="E242" s="8">
        <f t="shared" si="29"/>
        <v>0.3554408627974792</v>
      </c>
      <c r="F242" s="11">
        <f t="shared" si="37"/>
        <v>0.07</v>
      </c>
      <c r="G242" s="8">
        <f t="shared" si="37"/>
        <v>0.05</v>
      </c>
      <c r="H242" s="22">
        <f t="shared" si="30"/>
        <v>5.031605958663371</v>
      </c>
      <c r="I242" s="7">
        <v>104</v>
      </c>
      <c r="J242" s="9">
        <v>4.9</v>
      </c>
      <c r="K242" s="7">
        <f t="shared" si="33"/>
        <v>94</v>
      </c>
      <c r="L242" s="12">
        <f t="shared" si="38"/>
        <v>25661.19038918319</v>
      </c>
      <c r="M242" s="15">
        <f t="shared" si="31"/>
        <v>34267.72701989049</v>
      </c>
      <c r="N242" s="12">
        <f t="shared" si="40"/>
        <v>66991.03122545294</v>
      </c>
      <c r="O242" s="13">
        <f t="shared" si="41"/>
        <v>-28947.732469129536</v>
      </c>
      <c r="P242" s="10">
        <f t="shared" si="24"/>
        <v>38043.298756323406</v>
      </c>
      <c r="R242" s="7"/>
      <c r="S242" s="7">
        <f t="shared" si="35"/>
        <v>94</v>
      </c>
      <c r="T242" s="12">
        <f t="shared" si="36"/>
        <v>25661.19038918319</v>
      </c>
      <c r="U242" s="12">
        <f t="shared" si="26"/>
        <v>0</v>
      </c>
      <c r="V242" s="12">
        <f t="shared" si="42"/>
        <v>0</v>
      </c>
      <c r="W242" s="15">
        <f t="shared" si="43"/>
        <v>-40266.720231793195</v>
      </c>
      <c r="X242" s="13">
        <f t="shared" si="32"/>
        <v>-31595.706447705175</v>
      </c>
      <c r="Y242" s="10">
        <f t="shared" si="39"/>
        <v>-57549.98889828508</v>
      </c>
    </row>
    <row r="243" spans="2:25" ht="15" hidden="1">
      <c r="B243" s="5"/>
      <c r="C243" s="5"/>
      <c r="D243" s="5"/>
      <c r="E243" s="8">
        <f t="shared" si="29"/>
        <v>0.3572180671114666</v>
      </c>
      <c r="F243" s="11">
        <f t="shared" si="37"/>
        <v>0.07</v>
      </c>
      <c r="G243" s="8">
        <f t="shared" si="37"/>
        <v>0.05</v>
      </c>
      <c r="H243" s="22">
        <f t="shared" si="30"/>
        <v>5.283186256596539</v>
      </c>
      <c r="I243" s="7">
        <v>105</v>
      </c>
      <c r="J243" s="9">
        <v>4.5</v>
      </c>
      <c r="K243" s="7">
        <f t="shared" si="33"/>
        <v>95</v>
      </c>
      <c r="L243" s="12">
        <f t="shared" si="38"/>
        <v>26944.24990864235</v>
      </c>
      <c r="M243" s="15">
        <f t="shared" si="31"/>
        <v>28947.732469129536</v>
      </c>
      <c r="N243" s="12">
        <f t="shared" si="40"/>
        <v>36213.305945648</v>
      </c>
      <c r="O243" s="13">
        <f t="shared" si="41"/>
        <v>-21453.13285704657</v>
      </c>
      <c r="P243" s="10">
        <f t="shared" si="24"/>
        <v>14760.173088601427</v>
      </c>
      <c r="R243" s="7"/>
      <c r="S243" s="7">
        <f t="shared" si="35"/>
        <v>95</v>
      </c>
      <c r="T243" s="12">
        <f t="shared" si="36"/>
        <v>26944.24990864235</v>
      </c>
      <c r="U243" s="12">
        <f t="shared" si="26"/>
        <v>0</v>
      </c>
      <c r="V243" s="12">
        <f t="shared" si="42"/>
        <v>0</v>
      </c>
      <c r="W243" s="15">
        <f t="shared" si="43"/>
        <v>-43085.39064801872</v>
      </c>
      <c r="X243" s="13">
        <f t="shared" si="32"/>
        <v>-59261.373342784405</v>
      </c>
      <c r="Y243" s="10">
        <f t="shared" si="39"/>
        <v>-86955.88402277543</v>
      </c>
    </row>
    <row r="244" spans="2:25" ht="15" hidden="1">
      <c r="B244" s="5"/>
      <c r="C244" s="5"/>
      <c r="D244" s="5"/>
      <c r="E244" s="8">
        <f t="shared" si="29"/>
        <v>0.3590041574470238</v>
      </c>
      <c r="F244" s="11">
        <f t="shared" si="37"/>
        <v>0.07</v>
      </c>
      <c r="G244" s="8">
        <f t="shared" si="37"/>
        <v>0.05</v>
      </c>
      <c r="H244" s="22">
        <f t="shared" si="30"/>
        <v>5.5473455694263665</v>
      </c>
      <c r="I244" s="7">
        <v>106</v>
      </c>
      <c r="J244" s="9">
        <v>4.2</v>
      </c>
      <c r="K244" s="7">
        <f t="shared" si="33"/>
        <v>96</v>
      </c>
      <c r="L244" s="12">
        <f t="shared" si="38"/>
        <v>28291.462404074467</v>
      </c>
      <c r="M244" s="15">
        <f t="shared" si="31"/>
        <v>21453.13285704657</v>
      </c>
      <c r="N244" s="12">
        <f t="shared" si="40"/>
        <v>8787.334256294289</v>
      </c>
      <c r="O244" s="13">
        <f t="shared" si="41"/>
        <v>-20369.855247119216</v>
      </c>
      <c r="P244" s="10">
        <f t="shared" si="24"/>
        <v>-11582.520990824927</v>
      </c>
      <c r="R244" s="7"/>
      <c r="S244" s="7">
        <f t="shared" si="35"/>
        <v>96</v>
      </c>
      <c r="T244" s="12">
        <f t="shared" si="36"/>
        <v>28291.462404074467</v>
      </c>
      <c r="U244" s="12">
        <f t="shared" si="26"/>
        <v>0</v>
      </c>
      <c r="V244" s="12">
        <f t="shared" si="42"/>
        <v>0</v>
      </c>
      <c r="W244" s="15">
        <f t="shared" si="43"/>
        <v>-46101.36799338004</v>
      </c>
      <c r="X244" s="13">
        <f t="shared" si="32"/>
        <v>-89478.24775490783</v>
      </c>
      <c r="Y244" s="10">
        <f t="shared" si="39"/>
        <v>-119029.03297466927</v>
      </c>
    </row>
    <row r="245" spans="2:25" ht="15" hidden="1">
      <c r="B245" s="5"/>
      <c r="C245" s="5"/>
      <c r="D245" s="5"/>
      <c r="E245" s="8">
        <f t="shared" si="29"/>
        <v>0.36079917823425883</v>
      </c>
      <c r="F245" s="11">
        <f t="shared" si="37"/>
        <v>0.07</v>
      </c>
      <c r="G245" s="8">
        <f t="shared" si="37"/>
        <v>0.05</v>
      </c>
      <c r="H245" s="22">
        <f t="shared" si="30"/>
        <v>5.824712847897685</v>
      </c>
      <c r="I245" s="7">
        <v>107</v>
      </c>
      <c r="J245" s="9">
        <v>3.9</v>
      </c>
      <c r="K245" s="7">
        <f t="shared" si="33"/>
        <v>97</v>
      </c>
      <c r="L245" s="12">
        <f t="shared" si="38"/>
        <v>29706.035524278195</v>
      </c>
      <c r="M245" s="15">
        <f t="shared" si="31"/>
        <v>20369.855247119216</v>
      </c>
      <c r="N245" s="12">
        <f t="shared" si="40"/>
        <v>-12801.54485280831</v>
      </c>
      <c r="O245" s="13">
        <f t="shared" si="41"/>
        <v>-28275.591199361595</v>
      </c>
      <c r="P245" s="10">
        <f t="shared" si="24"/>
        <v>-41077.13605216991</v>
      </c>
      <c r="R245" s="7"/>
      <c r="S245" s="7">
        <f t="shared" si="35"/>
        <v>97</v>
      </c>
      <c r="T245" s="12">
        <f t="shared" si="36"/>
        <v>29706.035524278195</v>
      </c>
      <c r="U245" s="12">
        <f t="shared" si="26"/>
        <v>0</v>
      </c>
      <c r="V245" s="12">
        <f t="shared" si="42"/>
        <v>0</v>
      </c>
      <c r="W245" s="15">
        <f t="shared" si="43"/>
        <v>-49328.46375291664</v>
      </c>
      <c r="X245" s="13">
        <f t="shared" si="32"/>
        <v>-122419.28793799624</v>
      </c>
      <c r="Y245" s="10">
        <f t="shared" si="39"/>
        <v>-153950.08250530213</v>
      </c>
    </row>
    <row r="246" spans="2:25" ht="15" hidden="1">
      <c r="B246" s="5"/>
      <c r="C246" s="5"/>
      <c r="D246" s="5"/>
      <c r="E246" s="8">
        <f t="shared" si="29"/>
        <v>0.36260317412543014</v>
      </c>
      <c r="F246" s="11">
        <f t="shared" si="37"/>
        <v>0.07</v>
      </c>
      <c r="G246" s="8">
        <f t="shared" si="37"/>
        <v>0.05</v>
      </c>
      <c r="H246" s="22">
        <f t="shared" si="30"/>
        <v>6.11594849029257</v>
      </c>
      <c r="I246" s="7">
        <v>108</v>
      </c>
      <c r="J246" s="9">
        <v>3.7</v>
      </c>
      <c r="K246" s="7">
        <f t="shared" si="33"/>
        <v>98</v>
      </c>
      <c r="L246" s="12">
        <f t="shared" si="38"/>
        <v>31191.337300492105</v>
      </c>
      <c r="M246" s="15">
        <f t="shared" si="31"/>
        <v>28275.591199361595</v>
      </c>
      <c r="N246" s="12">
        <f t="shared" si="40"/>
        <v>-34780.45317327329</v>
      </c>
      <c r="O246" s="13">
        <f t="shared" si="41"/>
        <v>-39085.805449344625</v>
      </c>
      <c r="P246" s="10">
        <f t="shared" si="24"/>
        <v>-73866.25862261791</v>
      </c>
      <c r="R246" s="7"/>
      <c r="S246" s="7">
        <f t="shared" si="35"/>
        <v>98</v>
      </c>
      <c r="T246" s="12">
        <f t="shared" si="36"/>
        <v>31191.337300492105</v>
      </c>
      <c r="U246" s="12">
        <f t="shared" si="26"/>
        <v>0</v>
      </c>
      <c r="V246" s="12">
        <f t="shared" si="42"/>
        <v>0</v>
      </c>
      <c r="W246" s="15">
        <f t="shared" si="43"/>
        <v>-52781.45621562081</v>
      </c>
      <c r="X246" s="13">
        <f t="shared" si="32"/>
        <v>-158267.44340491874</v>
      </c>
      <c r="Y246" s="10">
        <f t="shared" si="39"/>
        <v>-191910.17606179303</v>
      </c>
    </row>
    <row r="247" spans="2:25" ht="15" hidden="1">
      <c r="B247" s="5"/>
      <c r="C247" s="5"/>
      <c r="D247" s="5"/>
      <c r="E247" s="8">
        <f t="shared" si="29"/>
        <v>0.36441618999605724</v>
      </c>
      <c r="F247" s="11">
        <f aca="true" t="shared" si="44" ref="F247:G262">F246</f>
        <v>0.07</v>
      </c>
      <c r="G247" s="8">
        <f t="shared" si="44"/>
        <v>0.05</v>
      </c>
      <c r="H247" s="22">
        <f t="shared" si="30"/>
        <v>6.4217459148071985</v>
      </c>
      <c r="I247" s="7">
        <v>109</v>
      </c>
      <c r="J247" s="9">
        <v>3.4</v>
      </c>
      <c r="K247" s="7">
        <f t="shared" si="33"/>
        <v>99</v>
      </c>
      <c r="L247" s="12">
        <f t="shared" si="38"/>
        <v>32750.904165516713</v>
      </c>
      <c r="M247" s="15">
        <f t="shared" si="31"/>
        <v>39085.805449344625</v>
      </c>
      <c r="N247" s="12">
        <f t="shared" si="40"/>
        <v>-66480.32178674167</v>
      </c>
      <c r="O247" s="13">
        <f t="shared" si="41"/>
        <v>-43810.520389433645</v>
      </c>
      <c r="P247" s="10">
        <f t="shared" si="24"/>
        <v>-110290.84217617531</v>
      </c>
      <c r="R247" s="7"/>
      <c r="S247" s="7">
        <f t="shared" si="35"/>
        <v>99</v>
      </c>
      <c r="T247" s="12">
        <f t="shared" si="36"/>
        <v>32750.904165516713</v>
      </c>
      <c r="U247" s="12">
        <f t="shared" si="26"/>
        <v>0</v>
      </c>
      <c r="V247" s="12">
        <f t="shared" si="42"/>
        <v>0</v>
      </c>
      <c r="W247" s="15">
        <f t="shared" si="43"/>
        <v>-56476.15815071427</v>
      </c>
      <c r="X247" s="13">
        <f t="shared" si="32"/>
        <v>-197216.16640865544</v>
      </c>
      <c r="Y247" s="10">
        <f t="shared" si="39"/>
        <v>-233111.49818047165</v>
      </c>
    </row>
    <row r="248" spans="2:25" ht="15" hidden="1">
      <c r="B248" s="5"/>
      <c r="C248" s="5"/>
      <c r="D248" s="5"/>
      <c r="E248" s="8">
        <f t="shared" si="29"/>
        <v>0.3662382709460375</v>
      </c>
      <c r="F248" s="11">
        <f t="shared" si="44"/>
        <v>0.07</v>
      </c>
      <c r="G248" s="8">
        <f t="shared" si="44"/>
        <v>0.05</v>
      </c>
      <c r="H248" s="22">
        <f t="shared" si="30"/>
        <v>6.742833210547559</v>
      </c>
      <c r="I248" s="7">
        <v>110</v>
      </c>
      <c r="J248" s="9">
        <v>3.1</v>
      </c>
      <c r="K248" s="7">
        <f t="shared" si="33"/>
        <v>100</v>
      </c>
      <c r="L248" s="12">
        <f t="shared" si="38"/>
        <v>34388.44937379255</v>
      </c>
      <c r="M248" s="15">
        <f t="shared" si="31"/>
        <v>43810.520389433645</v>
      </c>
      <c r="N248" s="12">
        <f t="shared" si="40"/>
        <v>-111587.75295188528</v>
      </c>
      <c r="O248" s="13">
        <f t="shared" si="41"/>
        <v>-39283.864504032645</v>
      </c>
      <c r="P248" s="10">
        <f t="shared" si="24"/>
        <v>-150871.61745591793</v>
      </c>
      <c r="R248" s="7"/>
      <c r="S248" s="7">
        <f t="shared" si="35"/>
        <v>100</v>
      </c>
      <c r="T248" s="12">
        <f t="shared" si="36"/>
        <v>34388.44937379255</v>
      </c>
      <c r="U248" s="12">
        <f t="shared" si="26"/>
        <v>0</v>
      </c>
      <c r="V248" s="12">
        <f t="shared" si="42"/>
        <v>0</v>
      </c>
      <c r="W248" s="15">
        <f t="shared" si="43"/>
        <v>-60429.48922126427</v>
      </c>
      <c r="X248" s="13">
        <f t="shared" si="32"/>
        <v>-239469.94680076983</v>
      </c>
      <c r="Y248" s="10">
        <f t="shared" si="39"/>
        <v>-277767.8443754861</v>
      </c>
    </row>
    <row r="249" spans="2:25" ht="15" hidden="1">
      <c r="B249" s="5"/>
      <c r="C249" s="5"/>
      <c r="D249" s="5"/>
      <c r="E249" s="8">
        <f t="shared" si="29"/>
        <v>0.3680694623007676</v>
      </c>
      <c r="F249" s="11">
        <f t="shared" si="44"/>
        <v>0.07</v>
      </c>
      <c r="G249" s="8">
        <f t="shared" si="44"/>
        <v>0.05</v>
      </c>
      <c r="H249" s="22">
        <f t="shared" si="30"/>
        <v>7.0799748710749375</v>
      </c>
      <c r="I249" s="7">
        <v>111</v>
      </c>
      <c r="J249" s="9">
        <v>2.9</v>
      </c>
      <c r="K249" s="7">
        <f t="shared" si="33"/>
        <v>101</v>
      </c>
      <c r="L249" s="12">
        <f t="shared" si="38"/>
        <v>36107.87184248218</v>
      </c>
      <c r="M249" s="15">
        <f t="shared" si="31"/>
        <v>39283.864504032645</v>
      </c>
      <c r="N249" s="12">
        <f t="shared" si="40"/>
        <v>-164742.7842615811</v>
      </c>
      <c r="O249" s="13">
        <f t="shared" si="41"/>
        <v>-31395.5590001964</v>
      </c>
      <c r="P249" s="10">
        <f t="shared" si="24"/>
        <v>-196138.3432617775</v>
      </c>
      <c r="R249" s="7"/>
      <c r="S249" s="7">
        <f t="shared" si="35"/>
        <v>101</v>
      </c>
      <c r="T249" s="12">
        <f t="shared" si="36"/>
        <v>36107.87184248218</v>
      </c>
      <c r="U249" s="12">
        <f t="shared" si="26"/>
        <v>0</v>
      </c>
      <c r="V249" s="12">
        <f t="shared" si="42"/>
        <v>0</v>
      </c>
      <c r="W249" s="15">
        <f t="shared" si="43"/>
        <v>-64659.553466752775</v>
      </c>
      <c r="X249" s="13">
        <f t="shared" si="32"/>
        <v>-285244.8712121382</v>
      </c>
      <c r="Y249" s="10">
        <f t="shared" si="39"/>
        <v>-326105.21760177554</v>
      </c>
    </row>
    <row r="250" spans="2:25" ht="15" hidden="1">
      <c r="B250" s="5"/>
      <c r="C250" s="5"/>
      <c r="D250" s="5"/>
      <c r="E250" s="8">
        <f t="shared" si="29"/>
        <v>0.3699098096122714</v>
      </c>
      <c r="F250" s="11">
        <f t="shared" si="44"/>
        <v>0.07</v>
      </c>
      <c r="G250" s="8">
        <f t="shared" si="44"/>
        <v>0.05</v>
      </c>
      <c r="H250" s="22">
        <f t="shared" si="30"/>
        <v>7.433973614628685</v>
      </c>
      <c r="I250" s="7">
        <v>112</v>
      </c>
      <c r="J250" s="9">
        <v>2.6</v>
      </c>
      <c r="K250" s="7">
        <f t="shared" si="33"/>
        <v>102</v>
      </c>
      <c r="L250" s="12">
        <f t="shared" si="38"/>
        <v>37913.26543460629</v>
      </c>
      <c r="M250" s="15">
        <f t="shared" si="31"/>
        <v>31395.5590001964</v>
      </c>
      <c r="N250" s="12">
        <f t="shared" si="40"/>
        <v>-216933.57892156558</v>
      </c>
      <c r="O250" s="13">
        <f t="shared" si="41"/>
        <v>-29538.1079760093</v>
      </c>
      <c r="P250" s="10">
        <f t="shared" si="24"/>
        <v>-246471.6868975749</v>
      </c>
      <c r="R250" s="7"/>
      <c r="S250" s="7">
        <f t="shared" si="35"/>
        <v>102</v>
      </c>
      <c r="T250" s="12">
        <f t="shared" si="36"/>
        <v>37913.26543460629</v>
      </c>
      <c r="U250" s="12">
        <f t="shared" si="26"/>
        <v>0</v>
      </c>
      <c r="V250" s="12">
        <f t="shared" si="42"/>
        <v>0</v>
      </c>
      <c r="W250" s="15">
        <f t="shared" si="43"/>
        <v>-69185.72220942547</v>
      </c>
      <c r="X250" s="13">
        <f t="shared" si="32"/>
        <v>-334769.2075338936</v>
      </c>
      <c r="Y250" s="10">
        <f t="shared" si="39"/>
        <v>-378362.452412943</v>
      </c>
    </row>
    <row r="251" spans="2:25" ht="15" hidden="1">
      <c r="B251" s="5"/>
      <c r="C251" s="5"/>
      <c r="D251" s="5"/>
      <c r="E251" s="8">
        <f t="shared" si="29"/>
        <v>0.3717593586603327</v>
      </c>
      <c r="F251" s="11">
        <f t="shared" si="44"/>
        <v>0.07</v>
      </c>
      <c r="G251" s="8">
        <f t="shared" si="44"/>
        <v>0.05</v>
      </c>
      <c r="H251" s="22">
        <f t="shared" si="30"/>
        <v>7.805672295360119</v>
      </c>
      <c r="I251" s="7">
        <v>113</v>
      </c>
      <c r="J251" s="9">
        <v>2.4</v>
      </c>
      <c r="K251" s="7">
        <f t="shared" si="33"/>
        <v>103</v>
      </c>
      <c r="L251" s="12">
        <f t="shared" si="38"/>
        <v>39808.92870633661</v>
      </c>
      <c r="M251" s="15">
        <f t="shared" si="31"/>
        <v>29538.1079760093</v>
      </c>
      <c r="N251" s="12">
        <f t="shared" si="40"/>
        <v>-264613.3330112785</v>
      </c>
      <c r="O251" s="13">
        <f t="shared" si="41"/>
        <v>-37502.36745698519</v>
      </c>
      <c r="P251" s="10">
        <f t="shared" si="24"/>
        <v>-302115.70046826365</v>
      </c>
      <c r="R251" s="7"/>
      <c r="S251" s="7">
        <f t="shared" si="35"/>
        <v>103</v>
      </c>
      <c r="T251" s="12">
        <f t="shared" si="36"/>
        <v>39808.92870633661</v>
      </c>
      <c r="U251" s="12">
        <f t="shared" si="26"/>
        <v>0</v>
      </c>
      <c r="V251" s="12">
        <f t="shared" si="42"/>
        <v>0</v>
      </c>
      <c r="W251" s="15">
        <f t="shared" si="43"/>
        <v>-74028.72276408525</v>
      </c>
      <c r="X251" s="13">
        <f t="shared" si="32"/>
        <v>-388284.01571052545</v>
      </c>
      <c r="Y251" s="10">
        <f t="shared" si="39"/>
        <v>-434791.86797739076</v>
      </c>
    </row>
    <row r="252" spans="2:25" ht="15" hidden="1">
      <c r="B252" s="5"/>
      <c r="C252" s="5"/>
      <c r="D252" s="5"/>
      <c r="E252" s="8">
        <f t="shared" si="29"/>
        <v>0.3736181554536343</v>
      </c>
      <c r="F252" s="11">
        <f t="shared" si="44"/>
        <v>0.07</v>
      </c>
      <c r="G252" s="8">
        <f t="shared" si="44"/>
        <v>0.05</v>
      </c>
      <c r="H252" s="22">
        <f t="shared" si="30"/>
        <v>8.195955910128125</v>
      </c>
      <c r="I252" s="7">
        <v>114</v>
      </c>
      <c r="J252" s="9">
        <v>2.1</v>
      </c>
      <c r="K252" s="7">
        <f t="shared" si="33"/>
        <v>104</v>
      </c>
      <c r="L252" s="12">
        <f t="shared" si="38"/>
        <v>41799.375141653436</v>
      </c>
      <c r="M252" s="15">
        <f t="shared" si="31"/>
        <v>37502.36745698519</v>
      </c>
      <c r="N252" s="12">
        <f t="shared" si="40"/>
        <v>-313708.2080772376</v>
      </c>
      <c r="O252" s="13">
        <f t="shared" si="41"/>
        <v>-49648.26312921245</v>
      </c>
      <c r="P252" s="10">
        <f t="shared" si="24"/>
        <v>-363356.47120645</v>
      </c>
      <c r="R252" s="7"/>
      <c r="S252" s="7">
        <f t="shared" si="35"/>
        <v>104</v>
      </c>
      <c r="T252" s="12">
        <f t="shared" si="36"/>
        <v>41799.375141653436</v>
      </c>
      <c r="U252" s="12">
        <f t="shared" si="26"/>
        <v>0</v>
      </c>
      <c r="V252" s="12">
        <f t="shared" si="42"/>
        <v>0</v>
      </c>
      <c r="W252" s="15">
        <f t="shared" si="43"/>
        <v>-79210.73335757123</v>
      </c>
      <c r="X252" s="13">
        <f t="shared" si="32"/>
        <v>-446043.7858920496</v>
      </c>
      <c r="Y252" s="10">
        <f t="shared" si="39"/>
        <v>-495659.9511604354</v>
      </c>
    </row>
    <row r="253" spans="2:25" ht="15" hidden="1">
      <c r="B253" s="5"/>
      <c r="C253" s="5"/>
      <c r="D253" s="5"/>
      <c r="E253" s="8">
        <f t="shared" si="29"/>
        <v>0.3754862462309024</v>
      </c>
      <c r="F253" s="11">
        <f t="shared" si="44"/>
        <v>0.07</v>
      </c>
      <c r="G253" s="8">
        <f t="shared" si="44"/>
        <v>0.05</v>
      </c>
      <c r="H253" s="22">
        <f t="shared" si="30"/>
        <v>8.605753705634532</v>
      </c>
      <c r="I253" s="7"/>
      <c r="J253" s="7"/>
      <c r="K253" s="7">
        <f t="shared" si="33"/>
        <v>105</v>
      </c>
      <c r="L253" s="12">
        <f t="shared" si="38"/>
        <v>43889.343898736115</v>
      </c>
      <c r="M253" s="15">
        <f t="shared" si="31"/>
        <v>49648.26312921245</v>
      </c>
      <c r="N253" s="12">
        <f t="shared" si="40"/>
        <v>-374482.7329606239</v>
      </c>
      <c r="O253" s="13">
        <f t="shared" si="41"/>
        <v>-56216.38962448299</v>
      </c>
      <c r="P253" s="10">
        <f t="shared" si="24"/>
        <v>-430699.12258510693</v>
      </c>
      <c r="R253" s="7"/>
      <c r="S253" s="7">
        <f t="shared" si="35"/>
        <v>105</v>
      </c>
      <c r="T253" s="12">
        <f t="shared" si="36"/>
        <v>43889.343898736115</v>
      </c>
      <c r="U253" s="12">
        <f t="shared" si="26"/>
        <v>0</v>
      </c>
      <c r="V253" s="12">
        <f t="shared" si="42"/>
        <v>0</v>
      </c>
      <c r="W253" s="15">
        <f t="shared" si="43"/>
        <v>-84755.48469260121</v>
      </c>
      <c r="X253" s="13">
        <f t="shared" si="32"/>
        <v>-508317.10502816254</v>
      </c>
      <c r="Y253" s="10">
        <f t="shared" si="39"/>
        <v>-561248.0709260582</v>
      </c>
    </row>
    <row r="254" spans="2:25" ht="15" hidden="1">
      <c r="B254" s="5"/>
      <c r="C254" s="5"/>
      <c r="D254" s="5"/>
      <c r="E254" s="8">
        <f t="shared" si="29"/>
        <v>0.37736367746205685</v>
      </c>
      <c r="F254" s="11">
        <f t="shared" si="44"/>
        <v>0.07</v>
      </c>
      <c r="G254" s="8">
        <f t="shared" si="44"/>
        <v>0.05</v>
      </c>
      <c r="H254" s="22">
        <f t="shared" si="30"/>
        <v>9.036041390916258</v>
      </c>
      <c r="I254" s="7"/>
      <c r="J254" s="7"/>
      <c r="K254" s="7">
        <f t="shared" si="33"/>
        <v>106</v>
      </c>
      <c r="L254" s="12">
        <f t="shared" si="38"/>
        <v>46083.81109367292</v>
      </c>
      <c r="M254" s="15">
        <f t="shared" si="31"/>
        <v>56216.38962448299</v>
      </c>
      <c r="N254" s="12">
        <f t="shared" si="40"/>
        <v>-452082.4766066025</v>
      </c>
      <c r="O254" s="13">
        <f t="shared" si="41"/>
        <v>-52789.14564022816</v>
      </c>
      <c r="P254" s="10">
        <f t="shared" si="24"/>
        <v>-504871.62224683067</v>
      </c>
      <c r="R254" s="7"/>
      <c r="S254" s="7">
        <f t="shared" si="35"/>
        <v>106</v>
      </c>
      <c r="T254" s="12">
        <f t="shared" si="36"/>
        <v>46083.81109367292</v>
      </c>
      <c r="U254" s="12">
        <f t="shared" si="26"/>
        <v>0</v>
      </c>
      <c r="V254" s="12">
        <f t="shared" si="42"/>
        <v>0</v>
      </c>
      <c r="W254" s="15">
        <f t="shared" si="43"/>
        <v>-90688.3686210833</v>
      </c>
      <c r="X254" s="13">
        <f t="shared" si="32"/>
        <v>-575387.3530243343</v>
      </c>
      <c r="Y254" s="10">
        <f t="shared" si="39"/>
        <v>-631853.225359531</v>
      </c>
    </row>
    <row r="255" spans="2:25" ht="15" hidden="1">
      <c r="B255" s="5"/>
      <c r="C255" s="5"/>
      <c r="D255" s="5"/>
      <c r="E255" s="8">
        <f t="shared" si="29"/>
        <v>0.37925049584936704</v>
      </c>
      <c r="F255" s="11">
        <f t="shared" si="44"/>
        <v>0.07</v>
      </c>
      <c r="G255" s="8">
        <f t="shared" si="44"/>
        <v>0.05</v>
      </c>
      <c r="H255" s="22">
        <f t="shared" si="30"/>
        <v>9.487843460462072</v>
      </c>
      <c r="I255" s="7"/>
      <c r="J255" s="7"/>
      <c r="K255" s="7">
        <f t="shared" si="33"/>
        <v>107</v>
      </c>
      <c r="L255" s="12">
        <f t="shared" si="38"/>
        <v>48388.00164835656</v>
      </c>
      <c r="M255" s="15">
        <f t="shared" si="31"/>
        <v>52789.14564022816</v>
      </c>
      <c r="N255" s="12">
        <f t="shared" si="40"/>
        <v>-541912.2132304045</v>
      </c>
      <c r="O255" s="13">
        <f t="shared" si="41"/>
        <v>-44736.54597501394</v>
      </c>
      <c r="P255" s="10">
        <f t="shared" si="24"/>
        <v>-586648.7592054185</v>
      </c>
      <c r="R255" s="7"/>
      <c r="S255" s="7">
        <f t="shared" si="35"/>
        <v>107</v>
      </c>
      <c r="T255" s="12">
        <f t="shared" si="36"/>
        <v>48388.00164835656</v>
      </c>
      <c r="U255" s="12">
        <f t="shared" si="26"/>
        <v>0</v>
      </c>
      <c r="V255" s="12">
        <f t="shared" si="42"/>
        <v>0</v>
      </c>
      <c r="W255" s="15">
        <f t="shared" si="43"/>
        <v>-97036.55442455913</v>
      </c>
      <c r="X255" s="13">
        <f t="shared" si="32"/>
        <v>-647553.4296179175</v>
      </c>
      <c r="Y255" s="10">
        <f t="shared" si="39"/>
        <v>-707788.8226614485</v>
      </c>
    </row>
    <row r="256" spans="2:25" ht="15" hidden="1">
      <c r="B256" s="5"/>
      <c r="C256" s="5"/>
      <c r="D256" s="5"/>
      <c r="E256" s="8">
        <f t="shared" si="29"/>
        <v>0.38114674832861384</v>
      </c>
      <c r="F256" s="11">
        <f t="shared" si="44"/>
        <v>0.07</v>
      </c>
      <c r="G256" s="8">
        <f t="shared" si="44"/>
        <v>0.05</v>
      </c>
      <c r="H256" s="22">
        <f t="shared" si="30"/>
        <v>9.962235633485175</v>
      </c>
      <c r="I256" s="7"/>
      <c r="J256" s="7"/>
      <c r="K256" s="7">
        <f t="shared" si="33"/>
        <v>108</v>
      </c>
      <c r="L256" s="12">
        <f t="shared" si="38"/>
        <v>50807.40173077439</v>
      </c>
      <c r="M256" s="15">
        <f t="shared" si="31"/>
        <v>44736.54597501394</v>
      </c>
      <c r="N256" s="12">
        <f t="shared" si="40"/>
        <v>-634482.8338941691</v>
      </c>
      <c r="O256" s="13">
        <f t="shared" si="41"/>
        <v>-42183.694916067725</v>
      </c>
      <c r="P256" s="10">
        <f t="shared" si="24"/>
        <v>-676666.5288102368</v>
      </c>
      <c r="R256" s="7"/>
      <c r="S256" s="7">
        <f t="shared" si="35"/>
        <v>108</v>
      </c>
      <c r="T256" s="12">
        <f t="shared" si="36"/>
        <v>50807.40173077439</v>
      </c>
      <c r="U256" s="12">
        <f t="shared" si="26"/>
        <v>0</v>
      </c>
      <c r="V256" s="12">
        <f t="shared" si="42"/>
        <v>0</v>
      </c>
      <c r="W256" s="15">
        <f t="shared" si="43"/>
        <v>-103829.11323427828</v>
      </c>
      <c r="X256" s="13">
        <f t="shared" si="32"/>
        <v>-725130.5131715718</v>
      </c>
      <c r="Y256" s="10">
        <f t="shared" si="39"/>
        <v>-789385.4975147614</v>
      </c>
    </row>
    <row r="257" spans="2:25" ht="15" hidden="1">
      <c r="B257" s="5"/>
      <c r="C257" s="5"/>
      <c r="D257" s="5"/>
      <c r="E257" s="8">
        <f t="shared" si="29"/>
        <v>0.3830524820702569</v>
      </c>
      <c r="F257" s="11">
        <f t="shared" si="44"/>
        <v>0.07</v>
      </c>
      <c r="G257" s="8">
        <f t="shared" si="44"/>
        <v>0.05</v>
      </c>
      <c r="H257" s="22">
        <f t="shared" si="30"/>
        <v>10.460347415159434</v>
      </c>
      <c r="I257" s="7"/>
      <c r="J257" s="7"/>
      <c r="K257" s="7">
        <f t="shared" si="33"/>
        <v>109</v>
      </c>
      <c r="L257" s="12">
        <f t="shared" si="38"/>
        <v>53347.771817313114</v>
      </c>
      <c r="M257" s="15">
        <f t="shared" si="31"/>
        <v>42183.694916067725</v>
      </c>
      <c r="N257" s="12">
        <f t="shared" si="40"/>
        <v>-725198.9573509003</v>
      </c>
      <c r="O257" s="13">
        <f t="shared" si="41"/>
        <v>-50213.43075434154</v>
      </c>
      <c r="P257" s="10">
        <f t="shared" si="24"/>
        <v>-775412.3881052418</v>
      </c>
      <c r="R257" s="7"/>
      <c r="S257" s="7">
        <f t="shared" si="35"/>
        <v>109</v>
      </c>
      <c r="T257" s="12">
        <f t="shared" si="36"/>
        <v>53347.771817313114</v>
      </c>
      <c r="U257" s="12">
        <f t="shared" si="26"/>
        <v>0</v>
      </c>
      <c r="V257" s="12">
        <f t="shared" si="42"/>
        <v>0</v>
      </c>
      <c r="W257" s="15">
        <f t="shared" si="43"/>
        <v>-111097.15116067776</v>
      </c>
      <c r="X257" s="13">
        <f t="shared" si="32"/>
        <v>-808450.8526216642</v>
      </c>
      <c r="Y257" s="10">
        <f t="shared" si="39"/>
        <v>-876991.9642793098</v>
      </c>
    </row>
    <row r="258" spans="2:25" ht="15" hidden="1">
      <c r="B258" s="5"/>
      <c r="C258" s="5"/>
      <c r="D258" s="5"/>
      <c r="E258" s="8">
        <f t="shared" si="29"/>
        <v>0.38496774448060805</v>
      </c>
      <c r="F258" s="11">
        <f t="shared" si="44"/>
        <v>0.07</v>
      </c>
      <c r="G258" s="8">
        <f t="shared" si="44"/>
        <v>0.05</v>
      </c>
      <c r="H258" s="22">
        <f t="shared" si="30"/>
        <v>10.983364785917408</v>
      </c>
      <c r="I258" s="7"/>
      <c r="J258" s="7"/>
      <c r="K258" s="7">
        <f t="shared" si="33"/>
        <v>110</v>
      </c>
      <c r="L258" s="12">
        <f t="shared" si="38"/>
        <v>56015.16040817878</v>
      </c>
      <c r="M258" s="15">
        <f t="shared" si="31"/>
        <v>50213.43075434154</v>
      </c>
      <c r="N258" s="12">
        <f t="shared" si="40"/>
        <v>-819623.0086035933</v>
      </c>
      <c r="O258" s="13">
        <f t="shared" si="41"/>
        <v>-63787.10899222789</v>
      </c>
      <c r="P258" s="10">
        <f t="shared" si="24"/>
        <v>-883410.1175958213</v>
      </c>
      <c r="R258" s="7"/>
      <c r="S258" s="7">
        <f t="shared" si="35"/>
        <v>110</v>
      </c>
      <c r="T258" s="12">
        <f t="shared" si="36"/>
        <v>56015.16040817878</v>
      </c>
      <c r="U258" s="12">
        <f t="shared" si="26"/>
        <v>0</v>
      </c>
      <c r="V258" s="12">
        <f t="shared" si="42"/>
        <v>0</v>
      </c>
      <c r="W258" s="15">
        <f t="shared" si="43"/>
        <v>-118873.95174192521</v>
      </c>
      <c r="X258" s="13">
        <f t="shared" si="32"/>
        <v>-897864.5938608377</v>
      </c>
      <c r="Y258" s="10">
        <f t="shared" si="39"/>
        <v>-970975.9085231774</v>
      </c>
    </row>
    <row r="259" spans="2:25" ht="15" hidden="1">
      <c r="B259" s="5"/>
      <c r="C259" s="5"/>
      <c r="D259" s="5"/>
      <c r="E259" s="8">
        <f t="shared" si="29"/>
        <v>0.38689258320301106</v>
      </c>
      <c r="F259" s="11">
        <f t="shared" si="44"/>
        <v>0.07</v>
      </c>
      <c r="G259" s="8">
        <f t="shared" si="44"/>
        <v>0.05</v>
      </c>
      <c r="H259" s="22">
        <f t="shared" si="30"/>
        <v>11.532533025213278</v>
      </c>
      <c r="I259" s="7"/>
      <c r="J259" s="7"/>
      <c r="K259" s="7">
        <f t="shared" si="33"/>
        <v>111</v>
      </c>
      <c r="L259" s="12">
        <f t="shared" si="38"/>
        <v>58815.91842858771</v>
      </c>
      <c r="M259" s="15">
        <f t="shared" si="31"/>
        <v>63787.10899222789</v>
      </c>
      <c r="N259" s="12">
        <f t="shared" si="40"/>
        <v>-928967.5200365885</v>
      </c>
      <c r="O259" s="13">
        <f t="shared" si="41"/>
        <v>-72459.9064928457</v>
      </c>
      <c r="P259" s="10">
        <f t="shared" si="24"/>
        <v>-1001427.4265294343</v>
      </c>
      <c r="R259" s="7"/>
      <c r="S259" s="7">
        <f t="shared" si="35"/>
        <v>111</v>
      </c>
      <c r="T259" s="12">
        <f t="shared" si="36"/>
        <v>58815.91842858771</v>
      </c>
      <c r="U259" s="12">
        <f t="shared" si="26"/>
        <v>0</v>
      </c>
      <c r="V259" s="12">
        <f t="shared" si="42"/>
        <v>0</v>
      </c>
      <c r="W259" s="15">
        <f t="shared" si="43"/>
        <v>-127195.12836385999</v>
      </c>
      <c r="X259" s="13">
        <f t="shared" si="32"/>
        <v>-993740.6418766623</v>
      </c>
      <c r="Y259" s="10">
        <f t="shared" si="39"/>
        <v>-1071724.9184569898</v>
      </c>
    </row>
    <row r="260" spans="2:25" ht="15" hidden="1">
      <c r="B260" s="5"/>
      <c r="C260" s="5"/>
      <c r="D260" s="5"/>
      <c r="E260" s="8">
        <f t="shared" si="29"/>
        <v>0.388827046119026</v>
      </c>
      <c r="F260" s="11">
        <f t="shared" si="44"/>
        <v>0.07</v>
      </c>
      <c r="G260" s="8">
        <f t="shared" si="44"/>
        <v>0.05</v>
      </c>
      <c r="H260" s="22">
        <f t="shared" si="30"/>
        <v>12.109159676473942</v>
      </c>
      <c r="I260" s="7"/>
      <c r="J260" s="7"/>
      <c r="K260" s="7">
        <f t="shared" si="33"/>
        <v>112</v>
      </c>
      <c r="L260" s="12">
        <f t="shared" si="38"/>
        <v>61756.7143500171</v>
      </c>
      <c r="M260" s="15">
        <f t="shared" si="31"/>
        <v>72459.9064928457</v>
      </c>
      <c r="N260" s="12">
        <f t="shared" si="40"/>
        <v>-1060014.9042461056</v>
      </c>
      <c r="O260" s="13">
        <f t="shared" si="41"/>
        <v>-70491.83977241736</v>
      </c>
      <c r="P260" s="10">
        <f t="shared" si="24"/>
        <v>-1130506.744018523</v>
      </c>
      <c r="R260" s="7"/>
      <c r="S260" s="7">
        <f t="shared" si="35"/>
        <v>112</v>
      </c>
      <c r="T260" s="12">
        <f t="shared" si="36"/>
        <v>61756.7143500171</v>
      </c>
      <c r="U260" s="12">
        <f t="shared" si="26"/>
        <v>0</v>
      </c>
      <c r="V260" s="12">
        <f t="shared" si="42"/>
        <v>0</v>
      </c>
      <c r="W260" s="15">
        <f t="shared" si="43"/>
        <v>-136098.7873493302</v>
      </c>
      <c r="X260" s="13">
        <f t="shared" si="32"/>
        <v>-1096467.560012253</v>
      </c>
      <c r="Y260" s="10">
        <f t="shared" si="39"/>
        <v>-1179647.4578961616</v>
      </c>
    </row>
    <row r="261" spans="2:25" ht="15" hidden="1">
      <c r="B261" s="5"/>
      <c r="C261" s="5"/>
      <c r="D261" s="5"/>
      <c r="E261" s="8">
        <f t="shared" si="29"/>
        <v>0.39077118134962113</v>
      </c>
      <c r="F261" s="11">
        <f t="shared" si="44"/>
        <v>0.07</v>
      </c>
      <c r="G261" s="8">
        <f t="shared" si="44"/>
        <v>0.05</v>
      </c>
      <c r="H261" s="22">
        <f t="shared" si="30"/>
        <v>12.71461766029764</v>
      </c>
      <c r="I261" s="7"/>
      <c r="J261" s="7"/>
      <c r="K261" s="7">
        <f t="shared" si="33"/>
        <v>113</v>
      </c>
      <c r="L261" s="12">
        <f t="shared" si="38"/>
        <v>64844.55006751796</v>
      </c>
      <c r="M261" s="15">
        <f t="shared" si="31"/>
        <v>70491.83977241736</v>
      </c>
      <c r="N261" s="12">
        <f t="shared" si="40"/>
        <v>-1209211.9507634284</v>
      </c>
      <c r="O261" s="13">
        <f t="shared" si="41"/>
        <v>-62575.484490737574</v>
      </c>
      <c r="P261" s="10">
        <f t="shared" si="24"/>
        <v>-1271787.435254166</v>
      </c>
      <c r="R261" s="7"/>
      <c r="S261" s="7">
        <f t="shared" si="35"/>
        <v>113</v>
      </c>
      <c r="T261" s="12">
        <f t="shared" si="36"/>
        <v>64844.55006751796</v>
      </c>
      <c r="U261" s="12">
        <f t="shared" si="26"/>
        <v>0</v>
      </c>
      <c r="V261" s="12">
        <f t="shared" si="42"/>
        <v>0</v>
      </c>
      <c r="W261" s="15">
        <f t="shared" si="43"/>
        <v>-145625.70246378332</v>
      </c>
      <c r="X261" s="13">
        <f t="shared" si="32"/>
        <v>-1206454.50775998</v>
      </c>
      <c r="Y261" s="10">
        <f t="shared" si="39"/>
        <v>-1295173.8824371223</v>
      </c>
    </row>
    <row r="262" spans="2:25" ht="15" hidden="1">
      <c r="B262" s="5"/>
      <c r="C262" s="5"/>
      <c r="D262" s="5"/>
      <c r="E262" s="8">
        <f t="shared" si="29"/>
        <v>0.39272503725636915</v>
      </c>
      <c r="F262" s="11">
        <f t="shared" si="44"/>
        <v>0.07</v>
      </c>
      <c r="G262" s="8">
        <f t="shared" si="44"/>
        <v>0.05</v>
      </c>
      <c r="H262" s="22">
        <f t="shared" si="30"/>
        <v>13.350348543312522</v>
      </c>
      <c r="I262" s="7"/>
      <c r="J262" s="7"/>
      <c r="K262" s="7">
        <f t="shared" si="33"/>
        <v>114</v>
      </c>
      <c r="L262" s="12">
        <f t="shared" si="38"/>
        <v>68086.77757089386</v>
      </c>
      <c r="M262" s="15">
        <f t="shared" si="31"/>
        <v>62575.484490737574</v>
      </c>
      <c r="N262" s="12">
        <f t="shared" si="40"/>
        <v>-1366815.8414813203</v>
      </c>
      <c r="O262" s="13">
        <f t="shared" si="41"/>
        <v>-59476.372773089635</v>
      </c>
      <c r="P262" s="10">
        <f t="shared" si="24"/>
        <v>-1426292.21425441</v>
      </c>
      <c r="R262" s="7"/>
      <c r="S262" s="7">
        <f t="shared" si="35"/>
        <v>114</v>
      </c>
      <c r="T262" s="12">
        <f t="shared" si="36"/>
        <v>68086.77757089386</v>
      </c>
      <c r="U262" s="12">
        <f t="shared" si="26"/>
        <v>0</v>
      </c>
      <c r="V262" s="12">
        <f t="shared" si="42"/>
        <v>0</v>
      </c>
      <c r="W262" s="15">
        <f t="shared" si="43"/>
        <v>-155819.50163624817</v>
      </c>
      <c r="X262" s="13">
        <f t="shared" si="32"/>
        <v>-1324132.2185459347</v>
      </c>
      <c r="Y262" s="10">
        <f t="shared" si="39"/>
        <v>-1418757.5005968185</v>
      </c>
    </row>
    <row r="263" spans="2:25" ht="15" hidden="1">
      <c r="B263" s="5"/>
      <c r="C263" s="5"/>
      <c r="D263" s="5"/>
      <c r="E263" s="8">
        <f t="shared" si="29"/>
        <v>0.39468866244265094</v>
      </c>
      <c r="F263" s="11">
        <f aca="true" t="shared" si="45" ref="F263:G274">F262</f>
        <v>0.07</v>
      </c>
      <c r="G263" s="8">
        <f t="shared" si="45"/>
        <v>0.05</v>
      </c>
      <c r="H263" s="22">
        <f t="shared" si="30"/>
        <v>14.01786597047815</v>
      </c>
      <c r="I263" s="7"/>
      <c r="J263" s="7"/>
      <c r="K263" s="7">
        <f t="shared" si="33"/>
        <v>115</v>
      </c>
      <c r="L263" s="12">
        <f t="shared" si="38"/>
        <v>71491.11644943856</v>
      </c>
      <c r="M263" s="15">
        <f t="shared" si="31"/>
        <v>59476.372773089635</v>
      </c>
      <c r="N263" s="12">
        <f t="shared" si="40"/>
        <v>-1527258.5768329264</v>
      </c>
      <c r="O263" s="13">
        <f t="shared" si="41"/>
        <v>-67633.10215793645</v>
      </c>
      <c r="P263" s="10">
        <f t="shared" si="24"/>
        <v>-1594891.6789908628</v>
      </c>
      <c r="R263" s="7"/>
      <c r="S263" s="7">
        <f t="shared" si="35"/>
        <v>115</v>
      </c>
      <c r="T263" s="12">
        <f t="shared" si="36"/>
        <v>71491.11644943856</v>
      </c>
      <c r="U263" s="12">
        <f t="shared" si="26"/>
        <v>0</v>
      </c>
      <c r="V263" s="12">
        <f t="shared" si="42"/>
        <v>0</v>
      </c>
      <c r="W263" s="15">
        <f t="shared" si="43"/>
        <v>-166726.86675078556</v>
      </c>
      <c r="X263" s="13">
        <f t="shared" si="32"/>
        <v>-1449954.0190107317</v>
      </c>
      <c r="Y263" s="10">
        <f t="shared" si="39"/>
        <v>-1550875.6817303956</v>
      </c>
    </row>
    <row r="264" spans="2:25" ht="15" hidden="1">
      <c r="B264" s="5"/>
      <c r="C264" s="5"/>
      <c r="D264" s="5"/>
      <c r="E264" s="8">
        <f t="shared" si="29"/>
        <v>0.3966621057548642</v>
      </c>
      <c r="F264" s="11">
        <f t="shared" si="45"/>
        <v>0.07</v>
      </c>
      <c r="G264" s="8">
        <f t="shared" si="45"/>
        <v>0.05</v>
      </c>
      <c r="H264" s="22">
        <f t="shared" si="30"/>
        <v>14.718759269002058</v>
      </c>
      <c r="I264" s="7"/>
      <c r="J264" s="7"/>
      <c r="K264" s="7">
        <f t="shared" si="33"/>
        <v>116</v>
      </c>
      <c r="L264" s="12">
        <f t="shared" si="38"/>
        <v>75065.6722719105</v>
      </c>
      <c r="M264" s="15">
        <f t="shared" si="31"/>
        <v>67633.10215793645</v>
      </c>
      <c r="N264" s="12">
        <f t="shared" si="40"/>
        <v>-1695724.7230313788</v>
      </c>
      <c r="O264" s="13">
        <f t="shared" si="41"/>
        <v>-82768.12480119138</v>
      </c>
      <c r="P264" s="10">
        <f t="shared" si="24"/>
        <v>-1778492.8478325703</v>
      </c>
      <c r="R264" s="7"/>
      <c r="S264" s="7">
        <f t="shared" si="35"/>
        <v>116</v>
      </c>
      <c r="T264" s="12">
        <f t="shared" si="36"/>
        <v>75065.6722719105</v>
      </c>
      <c r="U264" s="12">
        <f t="shared" si="26"/>
        <v>0</v>
      </c>
      <c r="V264" s="12">
        <f t="shared" si="42"/>
        <v>0</v>
      </c>
      <c r="W264" s="15">
        <f t="shared" si="43"/>
        <v>-178397.74742334057</v>
      </c>
      <c r="X264" s="13">
        <f t="shared" si="32"/>
        <v>-1584396.8913415046</v>
      </c>
      <c r="Y264" s="10">
        <f t="shared" si="39"/>
        <v>-1692031.0126099784</v>
      </c>
    </row>
    <row r="265" spans="2:25" ht="15" hidden="1">
      <c r="B265" s="5"/>
      <c r="C265" s="5"/>
      <c r="D265" s="5"/>
      <c r="E265" s="8">
        <f t="shared" si="29"/>
        <v>0.3986454162836384</v>
      </c>
      <c r="F265" s="11">
        <f t="shared" si="45"/>
        <v>0.07</v>
      </c>
      <c r="G265" s="8">
        <f t="shared" si="45"/>
        <v>0.05</v>
      </c>
      <c r="H265" s="22">
        <f t="shared" si="30"/>
        <v>15.454697232452162</v>
      </c>
      <c r="I265" s="7"/>
      <c r="J265" s="7"/>
      <c r="K265" s="7">
        <f t="shared" si="33"/>
        <v>117</v>
      </c>
      <c r="L265" s="12">
        <f t="shared" si="38"/>
        <v>78818.95588550603</v>
      </c>
      <c r="M265" s="15">
        <f t="shared" si="31"/>
        <v>82768.12480119138</v>
      </c>
      <c r="N265" s="12">
        <f t="shared" si="40"/>
        <v>-1884425.7143770396</v>
      </c>
      <c r="O265" s="13">
        <f t="shared" si="41"/>
        <v>-93853.2474361861</v>
      </c>
      <c r="P265" s="10">
        <f t="shared" si="24"/>
        <v>-1978278.9618132256</v>
      </c>
      <c r="R265" s="7"/>
      <c r="S265" s="7">
        <f t="shared" si="35"/>
        <v>117</v>
      </c>
      <c r="T265" s="12">
        <f t="shared" si="36"/>
        <v>78818.95588550603</v>
      </c>
      <c r="U265" s="12">
        <f t="shared" si="26"/>
        <v>0</v>
      </c>
      <c r="V265" s="12">
        <f t="shared" si="42"/>
        <v>0</v>
      </c>
      <c r="W265" s="15">
        <f t="shared" si="43"/>
        <v>-190885.5897429744</v>
      </c>
      <c r="X265" s="13">
        <f t="shared" si="32"/>
        <v>-1727962.580260704</v>
      </c>
      <c r="Y265" s="10">
        <f t="shared" si="39"/>
        <v>-1842752.5046180426</v>
      </c>
    </row>
    <row r="266" spans="2:25" ht="15" hidden="1">
      <c r="B266" s="5"/>
      <c r="C266" s="5"/>
      <c r="D266" s="5"/>
      <c r="E266" s="8">
        <f t="shared" si="29"/>
        <v>0.40063864336505656</v>
      </c>
      <c r="F266" s="11">
        <f t="shared" si="45"/>
        <v>0.07</v>
      </c>
      <c r="G266" s="8">
        <f t="shared" si="45"/>
        <v>0.05</v>
      </c>
      <c r="H266" s="22">
        <f t="shared" si="30"/>
        <v>16.22743209407477</v>
      </c>
      <c r="I266" s="7"/>
      <c r="J266" s="7"/>
      <c r="K266" s="7">
        <f t="shared" si="33"/>
        <v>118</v>
      </c>
      <c r="L266" s="12">
        <f t="shared" si="38"/>
        <v>82759.90367978133</v>
      </c>
      <c r="M266" s="15">
        <f t="shared" si="31"/>
        <v>93853.2474361861</v>
      </c>
      <c r="N266" s="12">
        <f t="shared" si="40"/>
        <v>-2102000.5235526655</v>
      </c>
      <c r="O266" s="13">
        <f t="shared" si="41"/>
        <v>-93771.69437944377</v>
      </c>
      <c r="P266" s="10">
        <f t="shared" si="24"/>
        <v>-2195772.2179321093</v>
      </c>
      <c r="R266" s="7"/>
      <c r="S266" s="7">
        <f t="shared" si="35"/>
        <v>118</v>
      </c>
      <c r="T266" s="12">
        <f t="shared" si="36"/>
        <v>82759.90367978133</v>
      </c>
      <c r="U266" s="12">
        <f t="shared" si="26"/>
        <v>0</v>
      </c>
      <c r="V266" s="12">
        <f t="shared" si="42"/>
        <v>0</v>
      </c>
      <c r="W266" s="15">
        <f t="shared" si="43"/>
        <v>-204247.58102498262</v>
      </c>
      <c r="X266" s="13">
        <f t="shared" si="32"/>
        <v>-1881178.746329511</v>
      </c>
      <c r="Y266" s="10">
        <f t="shared" si="39"/>
        <v>-2003596.8535820502</v>
      </c>
    </row>
    <row r="267" spans="2:25" ht="15" hidden="1">
      <c r="B267" s="5"/>
      <c r="C267" s="5"/>
      <c r="D267" s="5"/>
      <c r="E267" s="8">
        <f t="shared" si="29"/>
        <v>0.4026418365818818</v>
      </c>
      <c r="F267" s="11">
        <f t="shared" si="45"/>
        <v>0.07</v>
      </c>
      <c r="G267" s="8">
        <f t="shared" si="45"/>
        <v>0.05</v>
      </c>
      <c r="H267" s="22">
        <f t="shared" si="30"/>
        <v>17.038803698778512</v>
      </c>
      <c r="I267" s="7"/>
      <c r="J267" s="7"/>
      <c r="K267" s="7">
        <f t="shared" si="33"/>
        <v>119</v>
      </c>
      <c r="L267" s="12">
        <f t="shared" si="38"/>
        <v>86897.89886377042</v>
      </c>
      <c r="M267" s="15">
        <f t="shared" si="31"/>
        <v>93771.69437944377</v>
      </c>
      <c r="N267" s="12">
        <f t="shared" si="40"/>
        <v>-2346278.671297805</v>
      </c>
      <c r="O267" s="13">
        <f t="shared" si="41"/>
        <v>-86379.85746532348</v>
      </c>
      <c r="P267" s="10">
        <f t="shared" si="24"/>
        <v>-2432658.5287631284</v>
      </c>
      <c r="R267" s="7"/>
      <c r="S267" s="7">
        <f t="shared" si="35"/>
        <v>119</v>
      </c>
      <c r="T267" s="12">
        <f t="shared" si="36"/>
        <v>86897.89886377042</v>
      </c>
      <c r="U267" s="12">
        <f t="shared" si="26"/>
        <v>0</v>
      </c>
      <c r="V267" s="12">
        <f t="shared" si="42"/>
        <v>0</v>
      </c>
      <c r="W267" s="15">
        <f t="shared" si="43"/>
        <v>-218544.9116967314</v>
      </c>
      <c r="X267" s="13">
        <f t="shared" si="32"/>
        <v>-2044600.1672774507</v>
      </c>
      <c r="Y267" s="10">
        <f t="shared" si="39"/>
        <v>-2175149.754352985</v>
      </c>
    </row>
    <row r="268" spans="2:25" ht="15" hidden="1">
      <c r="B268" s="5"/>
      <c r="C268" s="5"/>
      <c r="D268" s="5"/>
      <c r="E268" s="8">
        <f t="shared" si="29"/>
        <v>0.4046550457647911</v>
      </c>
      <c r="F268" s="11">
        <f t="shared" si="45"/>
        <v>0.07</v>
      </c>
      <c r="G268" s="8">
        <f t="shared" si="45"/>
        <v>0.05</v>
      </c>
      <c r="H268" s="22">
        <f t="shared" si="30"/>
        <v>17.890743883717438</v>
      </c>
      <c r="I268" s="7"/>
      <c r="J268" s="7"/>
      <c r="K268" s="7">
        <f t="shared" si="33"/>
        <v>120</v>
      </c>
      <c r="L268" s="12">
        <f t="shared" si="38"/>
        <v>91242.79380695893</v>
      </c>
      <c r="M268" s="15">
        <f t="shared" si="31"/>
        <v>86379.85746532348</v>
      </c>
      <c r="N268" s="12">
        <f t="shared" si="40"/>
        <v>-2607571.881971376</v>
      </c>
      <c r="O268" s="13">
        <f t="shared" si="41"/>
        <v>-82974.32773520304</v>
      </c>
      <c r="P268" s="10">
        <f t="shared" si="24"/>
        <v>-2690546.209706579</v>
      </c>
      <c r="R268" s="7"/>
      <c r="S268" s="7">
        <f t="shared" si="35"/>
        <v>120</v>
      </c>
      <c r="T268" s="12">
        <f t="shared" si="36"/>
        <v>91242.79380695893</v>
      </c>
      <c r="U268" s="12">
        <f t="shared" si="26"/>
        <v>0</v>
      </c>
      <c r="V268" s="12">
        <f t="shared" si="42"/>
        <v>0</v>
      </c>
      <c r="W268" s="15">
        <f t="shared" si="43"/>
        <v>-233843.0555155026</v>
      </c>
      <c r="X268" s="13">
        <f t="shared" si="32"/>
        <v>-2218809.989125123</v>
      </c>
      <c r="Y268" s="10">
        <f t="shared" si="39"/>
        <v>-2358027.2723092213</v>
      </c>
    </row>
    <row r="269" spans="2:25" ht="15" hidden="1">
      <c r="B269" s="5"/>
      <c r="C269" s="5"/>
      <c r="D269" s="5"/>
      <c r="E269" s="8">
        <f t="shared" si="29"/>
        <v>0.40667832099361506</v>
      </c>
      <c r="F269" s="11">
        <f t="shared" si="45"/>
        <v>0.07</v>
      </c>
      <c r="G269" s="8">
        <f t="shared" si="45"/>
        <v>0.05</v>
      </c>
      <c r="H269" s="22">
        <f t="shared" si="30"/>
        <v>18.78528107790331</v>
      </c>
      <c r="I269" s="7"/>
      <c r="J269" s="7"/>
      <c r="K269" s="7">
        <f t="shared" si="33"/>
        <v>121</v>
      </c>
      <c r="L269" s="12">
        <f t="shared" si="38"/>
        <v>95804.93349730688</v>
      </c>
      <c r="M269" s="15">
        <f t="shared" si="31"/>
        <v>82974.32773520304</v>
      </c>
      <c r="N269" s="12">
        <f t="shared" si="40"/>
        <v>-2879505.066185982</v>
      </c>
      <c r="O269" s="13">
        <f t="shared" si="41"/>
        <v>-91396.47775269489</v>
      </c>
      <c r="P269" s="10">
        <f t="shared" si="24"/>
        <v>-2970901.543938677</v>
      </c>
      <c r="R269" s="7"/>
      <c r="S269" s="7">
        <f t="shared" si="35"/>
        <v>121</v>
      </c>
      <c r="T269" s="12">
        <f t="shared" si="36"/>
        <v>95804.93349730688</v>
      </c>
      <c r="U269" s="12">
        <f t="shared" si="26"/>
        <v>0</v>
      </c>
      <c r="V269" s="12">
        <f t="shared" si="42"/>
        <v>0</v>
      </c>
      <c r="W269" s="15">
        <f t="shared" si="43"/>
        <v>-250212.0694015878</v>
      </c>
      <c r="X269" s="13">
        <f t="shared" si="32"/>
        <v>-2404421.0289239595</v>
      </c>
      <c r="Y269" s="10">
        <f t="shared" si="39"/>
        <v>-2552877.2740489715</v>
      </c>
    </row>
    <row r="270" spans="2:25" ht="15" hidden="1">
      <c r="B270" s="5"/>
      <c r="C270" s="5"/>
      <c r="D270" s="5"/>
      <c r="E270" s="8">
        <f t="shared" si="29"/>
        <v>0.408711712598583</v>
      </c>
      <c r="F270" s="11">
        <f t="shared" si="45"/>
        <v>0.07</v>
      </c>
      <c r="G270" s="8">
        <f t="shared" si="45"/>
        <v>0.05</v>
      </c>
      <c r="H270" s="22">
        <f t="shared" si="30"/>
        <v>19.724545131798475</v>
      </c>
      <c r="I270" s="7"/>
      <c r="J270" s="7"/>
      <c r="K270" s="7">
        <f t="shared" si="33"/>
        <v>122</v>
      </c>
      <c r="L270" s="12">
        <f t="shared" si="38"/>
        <v>100595.18017217223</v>
      </c>
      <c r="M270" s="15">
        <f t="shared" si="31"/>
        <v>91396.47775269489</v>
      </c>
      <c r="N270" s="12">
        <f t="shared" si="40"/>
        <v>-3166948.8500249363</v>
      </c>
      <c r="O270" s="13">
        <f t="shared" si="41"/>
        <v>-108289.45300865406</v>
      </c>
      <c r="P270" s="10">
        <f t="shared" si="24"/>
        <v>-3275238.3030335903</v>
      </c>
      <c r="R270" s="7"/>
      <c r="S270" s="7">
        <f t="shared" si="35"/>
        <v>122</v>
      </c>
      <c r="T270" s="12">
        <f t="shared" si="36"/>
        <v>100595.18017217223</v>
      </c>
      <c r="U270" s="12">
        <f t="shared" si="26"/>
        <v>0</v>
      </c>
      <c r="V270" s="12">
        <f t="shared" si="42"/>
        <v>0</v>
      </c>
      <c r="W270" s="15">
        <f t="shared" si="43"/>
        <v>-267726.91425969894</v>
      </c>
      <c r="X270" s="13">
        <f t="shared" si="32"/>
        <v>-2602077.130995616</v>
      </c>
      <c r="Y270" s="10">
        <f t="shared" si="39"/>
        <v>-2760380.9196194992</v>
      </c>
    </row>
    <row r="271" spans="2:25" ht="15" hidden="1">
      <c r="B271" s="5"/>
      <c r="C271" s="5"/>
      <c r="D271" s="5"/>
      <c r="E271" s="8">
        <f t="shared" si="29"/>
        <v>0.4107552711615759</v>
      </c>
      <c r="F271" s="11">
        <f t="shared" si="45"/>
        <v>0.07</v>
      </c>
      <c r="G271" s="8">
        <f t="shared" si="45"/>
        <v>0.05</v>
      </c>
      <c r="H271" s="22">
        <f t="shared" si="30"/>
        <v>20.7107723883884</v>
      </c>
      <c r="I271" s="7"/>
      <c r="J271" s="7"/>
      <c r="K271" s="7">
        <f t="shared" si="33"/>
        <v>123</v>
      </c>
      <c r="L271" s="12">
        <f t="shared" si="38"/>
        <v>105624.93918078084</v>
      </c>
      <c r="M271" s="15">
        <f t="shared" si="31"/>
        <v>108289.45300865406</v>
      </c>
      <c r="N271" s="12">
        <f t="shared" si="40"/>
        <v>-3483230.624000721</v>
      </c>
      <c r="O271" s="13">
        <f t="shared" si="41"/>
        <v>-122160.64336804753</v>
      </c>
      <c r="P271" s="10">
        <f t="shared" si="24"/>
        <v>-3605391.267368769</v>
      </c>
      <c r="R271" s="7"/>
      <c r="S271" s="7">
        <f t="shared" si="35"/>
        <v>123</v>
      </c>
      <c r="T271" s="12">
        <f t="shared" si="36"/>
        <v>105624.93918078084</v>
      </c>
      <c r="U271" s="12">
        <f t="shared" si="26"/>
        <v>0</v>
      </c>
      <c r="V271" s="12">
        <f t="shared" si="42"/>
        <v>0</v>
      </c>
      <c r="W271" s="15">
        <f t="shared" si="43"/>
        <v>-286467.7982578779</v>
      </c>
      <c r="X271" s="13">
        <f t="shared" si="32"/>
        <v>-2812454.578614053</v>
      </c>
      <c r="Y271" s="10">
        <f t="shared" si="39"/>
        <v>-2981254.2187194563</v>
      </c>
    </row>
    <row r="272" spans="2:25" ht="15" hidden="1">
      <c r="B272" s="5"/>
      <c r="C272" s="5"/>
      <c r="D272" s="5"/>
      <c r="E272" s="8">
        <f t="shared" si="29"/>
        <v>0.41280904751738373</v>
      </c>
      <c r="F272" s="11">
        <f t="shared" si="45"/>
        <v>0.07</v>
      </c>
      <c r="G272" s="8">
        <f t="shared" si="45"/>
        <v>0.05</v>
      </c>
      <c r="H272" s="22">
        <f t="shared" si="30"/>
        <v>21.74631100780782</v>
      </c>
      <c r="I272" s="7"/>
      <c r="J272" s="7"/>
      <c r="K272" s="7">
        <f t="shared" si="33"/>
        <v>124</v>
      </c>
      <c r="L272" s="12">
        <f>IF(K272&lt;$B$22,0,$B$77*H272/$H$208)</f>
        <v>110906.18613981988</v>
      </c>
      <c r="M272" s="15">
        <f t="shared" si="31"/>
        <v>122160.64336804753</v>
      </c>
      <c r="N272" s="12">
        <f t="shared" si="40"/>
        <v>-3839136.3515447294</v>
      </c>
      <c r="O272" s="13">
        <f t="shared" si="41"/>
        <v>-124479.95382702388</v>
      </c>
      <c r="P272" s="10">
        <f t="shared" si="24"/>
        <v>-3963616.3053717534</v>
      </c>
      <c r="R272" s="7"/>
      <c r="S272" s="7">
        <f t="shared" si="35"/>
        <v>124</v>
      </c>
      <c r="T272" s="12">
        <f t="shared" si="36"/>
        <v>110906.18613981988</v>
      </c>
      <c r="U272" s="12">
        <f t="shared" si="26"/>
        <v>0</v>
      </c>
      <c r="V272" s="12">
        <f t="shared" si="42"/>
        <v>0</v>
      </c>
      <c r="W272" s="15">
        <f t="shared" si="43"/>
        <v>-306520.5441359293</v>
      </c>
      <c r="X272" s="13">
        <f t="shared" si="32"/>
        <v>-3036263.563135657</v>
      </c>
      <c r="Y272" s="10">
        <f>W272*(1-E272)+X272</f>
        <v>-3216249.653402323</v>
      </c>
    </row>
    <row r="273" spans="2:25" ht="15" hidden="1">
      <c r="B273" s="5"/>
      <c r="C273" s="5"/>
      <c r="D273" s="5"/>
      <c r="E273" s="8">
        <f t="shared" si="29"/>
        <v>0.4148730927549706</v>
      </c>
      <c r="F273" s="11">
        <f t="shared" si="45"/>
        <v>0.07</v>
      </c>
      <c r="G273" s="8">
        <f t="shared" si="45"/>
        <v>0.05</v>
      </c>
      <c r="H273" s="22">
        <f t="shared" si="30"/>
        <v>22.833626558198212</v>
      </c>
      <c r="I273" s="7"/>
      <c r="J273" s="7"/>
      <c r="K273" s="7">
        <f t="shared" si="33"/>
        <v>125</v>
      </c>
      <c r="L273" s="12">
        <f>IF(K273&lt;$B$22,0,$B$77*H273/$H$208)</f>
        <v>116451.49544681088</v>
      </c>
      <c r="M273" s="15">
        <f t="shared" si="31"/>
        <v>124479.95382702388</v>
      </c>
      <c r="N273" s="12">
        <f t="shared" si="40"/>
        <v>-4234312.16203879</v>
      </c>
      <c r="O273" s="13">
        <f t="shared" si="41"/>
        <v>-118110.74374340085</v>
      </c>
      <c r="P273" s="10">
        <f>N273+O273</f>
        <v>-4352422.905782191</v>
      </c>
      <c r="R273" s="7"/>
      <c r="S273" s="7">
        <f t="shared" si="35"/>
        <v>125</v>
      </c>
      <c r="T273" s="12">
        <f t="shared" si="36"/>
        <v>116451.49544681088</v>
      </c>
      <c r="U273" s="12">
        <f>IF(S273&lt;70,0,W273/LOOKUP(S273,$I$208:$J$252))*IF(W273&lt;0,0,1)</f>
        <v>0</v>
      </c>
      <c r="V273" s="12">
        <f t="shared" si="42"/>
        <v>0</v>
      </c>
      <c r="W273" s="15">
        <f t="shared" si="43"/>
        <v>-327976.9822254444</v>
      </c>
      <c r="X273" s="13">
        <f t="shared" si="32"/>
        <v>-3274249.7126469375</v>
      </c>
      <c r="Y273" s="10">
        <f>W273*(1-E273)+X273</f>
        <v>-3466157.8699040697</v>
      </c>
    </row>
    <row r="274" spans="2:25" ht="15" hidden="1">
      <c r="B274" s="5"/>
      <c r="C274" s="5"/>
      <c r="D274" s="5"/>
      <c r="E274" s="8">
        <f>IF(OR(K274&lt;$B$22,K274&lt;$K$208+4),$B$48,$B$49)*FV($B$51,K274-$K$208,,-1)</f>
        <v>0.41694745821874535</v>
      </c>
      <c r="F274" s="11">
        <f t="shared" si="45"/>
        <v>0.07</v>
      </c>
      <c r="G274" s="8">
        <f t="shared" si="45"/>
        <v>0.05</v>
      </c>
      <c r="H274" s="22">
        <f>H273*(1+G273)</f>
        <v>23.975307886108123</v>
      </c>
      <c r="I274" s="7"/>
      <c r="J274" s="7"/>
      <c r="K274" s="7">
        <f t="shared" si="33"/>
        <v>126</v>
      </c>
      <c r="L274" s="12">
        <f>IF(K274&lt;$B$22,0,$B$77*H274/$H$208)</f>
        <v>122274.07021915143</v>
      </c>
      <c r="M274" s="15">
        <f>IF(O273=0,L274,IF(O273&gt;L274,0,IF(O273&lt;0,-O273,0)))</f>
        <v>118110.74374340085</v>
      </c>
      <c r="N274" s="12">
        <f t="shared" si="40"/>
        <v>-4659550.765592475</v>
      </c>
      <c r="O274" s="13">
        <f t="shared" si="41"/>
        <v>-114755.55121134831</v>
      </c>
      <c r="P274" s="10">
        <f>N274+O274</f>
        <v>-4774306.316803824</v>
      </c>
      <c r="R274" s="7"/>
      <c r="S274" s="7">
        <f t="shared" si="35"/>
        <v>126</v>
      </c>
      <c r="T274" s="12">
        <f t="shared" si="36"/>
        <v>122274.07021915143</v>
      </c>
      <c r="U274" s="12">
        <f>IF(S274&lt;70,0,W274/LOOKUP(S274,$I$208:$J$252))*IF(W274&lt;0,0,1)</f>
        <v>0</v>
      </c>
      <c r="V274" s="12">
        <f t="shared" si="42"/>
        <v>0</v>
      </c>
      <c r="W274" s="15">
        <f t="shared" si="43"/>
        <v>-350935.3709812255</v>
      </c>
      <c r="X274" s="13">
        <f>(X273-0.5*T273+0.5*(U273+V273)*(1-E273*$B$40))*(1+F273*(1-E273))-0.5*T273+0.5*(U273+V273)*(1-E273*$B$40)</f>
        <v>-3527195.6822655</v>
      </c>
      <c r="Y274" s="10">
        <f>W274*(1-E274)+X274</f>
        <v>-3731809.4423170513</v>
      </c>
    </row>
  </sheetData>
  <sheetProtection password="EA69" sheet="1" objects="1" scenarios="1"/>
  <conditionalFormatting sqref="B98">
    <cfRule type="cellIs" priority="6" dxfId="14" operator="greaterThan" stopIfTrue="1">
      <formula>0</formula>
    </cfRule>
    <cfRule type="cellIs" priority="7" dxfId="0" operator="greaterThan" stopIfTrue="1">
      <formula>13959</formula>
    </cfRule>
    <cfRule type="cellIs" priority="8" dxfId="1" operator="greaterThan" stopIfTrue="1">
      <formula>0</formula>
    </cfRule>
    <cfRule type="expression" priority="9" dxfId="1" stopIfTrue="1">
      <formula>"if(lookup(59,$G$157:$H$223)&gt;0"</formula>
    </cfRule>
  </conditionalFormatting>
  <conditionalFormatting sqref="B99:B100">
    <cfRule type="cellIs" priority="5" dxfId="15" operator="greaterThan" stopIfTrue="1">
      <formula>0</formula>
    </cfRule>
  </conditionalFormatting>
  <conditionalFormatting sqref="B99">
    <cfRule type="cellIs" priority="1" dxfId="14" operator="greaterThan" stopIfTrue="1">
      <formula>0</formula>
    </cfRule>
    <cfRule type="cellIs" priority="3" dxfId="14" operator="greaterThan" stopIfTrue="1">
      <formula>0</formula>
    </cfRule>
  </conditionalFormatting>
  <conditionalFormatting sqref="B100">
    <cfRule type="cellIs" priority="2" dxfId="14" operator="greaterThan" stopIfTrue="1">
      <formula>0</formula>
    </cfRule>
  </conditionalFormatting>
  <dataValidations count="2">
    <dataValidation type="whole" operator="greaterThan" allowBlank="1" showInputMessage="1" showErrorMessage="1" error="Must use a whole number, e.g., 60, not 60.5." sqref="B22">
      <formula1>0</formula1>
    </dataValidation>
    <dataValidation type="whole" operator="greaterThan" allowBlank="1" showInputMessage="1" showErrorMessage="1" error="Must use whole number, e.g., 60, not 60.5." sqref="B20">
      <formula1>0</formula1>
    </dataValidation>
  </dataValidations>
  <hyperlinks>
    <hyperlink ref="B70" r:id="rId1" display="www.analyzenow.com.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340"/>
  <sheetViews>
    <sheetView showGridLines="0" zoomScalePageLayoutView="0" workbookViewId="0" topLeftCell="B1">
      <selection activeCell="B1" sqref="B1"/>
    </sheetView>
  </sheetViews>
  <sheetFormatPr defaultColWidth="9.140625" defaultRowHeight="15"/>
  <cols>
    <col min="1" max="1" width="0" style="0" hidden="1" customWidth="1"/>
    <col min="2" max="2" width="2.00390625" style="0" customWidth="1"/>
    <col min="3" max="3" width="12.7109375" style="0" customWidth="1"/>
    <col min="4" max="4" width="9.7109375" style="0" bestFit="1" customWidth="1"/>
    <col min="5" max="5" width="9.8515625" style="0" customWidth="1"/>
    <col min="6" max="6" width="10.00390625" style="0" customWidth="1"/>
    <col min="7" max="7" width="18.140625" style="0" customWidth="1"/>
    <col min="8" max="8" width="11.140625" style="0" customWidth="1"/>
    <col min="9" max="9" width="11.7109375" style="0" customWidth="1"/>
    <col min="10" max="10" width="14.57421875" style="0" customWidth="1"/>
    <col min="11" max="11" width="9.28125" style="0" bestFit="1" customWidth="1"/>
    <col min="13" max="16" width="9.28125" style="0" bestFit="1" customWidth="1"/>
  </cols>
  <sheetData>
    <row r="1" spans="1:6" ht="18.75">
      <c r="A1" s="52"/>
      <c r="F1" s="16" t="s">
        <v>7</v>
      </c>
    </row>
    <row r="2" spans="1:6" ht="15">
      <c r="A2" s="52"/>
      <c r="F2" s="2" t="s">
        <v>8</v>
      </c>
    </row>
    <row r="3" spans="1:6" ht="15">
      <c r="A3" s="52"/>
      <c r="F3" s="2"/>
    </row>
    <row r="4" spans="1:6" ht="15">
      <c r="A4" s="52"/>
      <c r="C4" t="s">
        <v>292</v>
      </c>
      <c r="F4" s="2"/>
    </row>
    <row r="5" spans="1:6" ht="15">
      <c r="A5" s="52"/>
      <c r="C5" s="7" t="s">
        <v>222</v>
      </c>
      <c r="F5" s="2"/>
    </row>
    <row r="6" spans="1:6" ht="15">
      <c r="A6" s="52"/>
      <c r="C6" s="7" t="str">
        <f>CONCATENATE("your own choices for returns and inflation.  It is highlighted in a yellow box on row ",ROW(C97),".")</f>
        <v>your own choices for returns and inflation.  It is highlighted in a yellow box on row 97.</v>
      </c>
      <c r="F6" s="2"/>
    </row>
    <row r="7" spans="1:6" ht="15">
      <c r="A7" s="52"/>
      <c r="F7" s="2"/>
    </row>
    <row r="8" spans="1:6" ht="15">
      <c r="A8" s="52"/>
      <c r="C8" s="4" t="s">
        <v>81</v>
      </c>
      <c r="F8" s="2"/>
    </row>
    <row r="9" spans="1:3" ht="15">
      <c r="A9" s="52"/>
      <c r="C9" s="4" t="s">
        <v>82</v>
      </c>
    </row>
    <row r="10" ht="15">
      <c r="C10" s="4" t="s">
        <v>207</v>
      </c>
    </row>
    <row r="11" ht="15">
      <c r="C11" s="4" t="s">
        <v>208</v>
      </c>
    </row>
    <row r="12" ht="15">
      <c r="C12" s="4" t="s">
        <v>209</v>
      </c>
    </row>
    <row r="13" ht="15">
      <c r="C13" s="4" t="s">
        <v>83</v>
      </c>
    </row>
    <row r="14" ht="15">
      <c r="C14" s="4" t="s">
        <v>84</v>
      </c>
    </row>
    <row r="16" ht="15">
      <c r="C16" s="7" t="s">
        <v>281</v>
      </c>
    </row>
    <row r="17" ht="15">
      <c r="C17" s="4"/>
    </row>
    <row r="18" spans="3:6" ht="15">
      <c r="C18" s="27" t="s">
        <v>43</v>
      </c>
      <c r="D18" s="1"/>
      <c r="E18" s="1"/>
      <c r="F18" s="1"/>
    </row>
    <row r="19" ht="15">
      <c r="C19" s="4"/>
    </row>
    <row r="20" ht="15" hidden="1">
      <c r="C20" t="s">
        <v>80</v>
      </c>
    </row>
    <row r="21" spans="3:8" ht="15" hidden="1">
      <c r="C21" s="27" t="s">
        <v>85</v>
      </c>
      <c r="D21" s="1"/>
      <c r="E21" s="1"/>
      <c r="F21" s="1"/>
      <c r="G21" s="70" t="s">
        <v>290</v>
      </c>
      <c r="H21" s="75" t="str">
        <f>IF(I128=TRUE,"Password is correct.","Password is not correct.")</f>
        <v>Password is correct.</v>
      </c>
    </row>
    <row r="22" ht="15" hidden="1">
      <c r="C22" s="4" t="s">
        <v>90</v>
      </c>
    </row>
    <row r="23" ht="15" hidden="1">
      <c r="C23" s="4" t="s">
        <v>86</v>
      </c>
    </row>
    <row r="24" ht="15" hidden="1">
      <c r="C24" s="4"/>
    </row>
    <row r="25" spans="3:9" ht="15" hidden="1">
      <c r="C25" s="28" t="str">
        <f>CONCATENATE("If you do not have the password, on row ",ROW(C106)," you can try out the different return and inflation")</f>
        <v>If you do not have the password, on row 106 you can try out the different return and inflation</v>
      </c>
      <c r="D25" s="1"/>
      <c r="E25" s="1"/>
      <c r="F25" s="1"/>
      <c r="G25" s="1"/>
      <c r="H25" s="1"/>
      <c r="I25" s="1"/>
    </row>
    <row r="26" spans="3:9" ht="15" hidden="1">
      <c r="C26" s="28" t="s">
        <v>216</v>
      </c>
      <c r="D26" s="1"/>
      <c r="E26" s="1"/>
      <c r="F26" s="1"/>
      <c r="G26" s="1"/>
      <c r="H26" s="1"/>
      <c r="I26" s="1"/>
    </row>
    <row r="27" spans="3:9" ht="15" hidden="1">
      <c r="C27" s="28" t="str">
        <f>CONCATENATE("the differences in the return chart on row ",ROW(F82)," and the Savings Balances chart on row ",ROW(I126),".")</f>
        <v>the differences in the return chart on row 82 and the Savings Balances chart on row 126.</v>
      </c>
      <c r="D27" s="1"/>
      <c r="E27" s="1"/>
      <c r="F27" s="1"/>
      <c r="G27" s="1"/>
      <c r="H27" s="1"/>
      <c r="I27" s="1"/>
    </row>
    <row r="28" spans="3:9" ht="15" hidden="1">
      <c r="C28" s="28" t="str">
        <f>CONCATENATE("You can also change allocations on row ",ROW(C102),", but, not ages, savings, etc. without the password.")</f>
        <v>You can also change allocations on row 102, but, not ages, savings, etc. without the password.</v>
      </c>
      <c r="D28" s="1"/>
      <c r="E28" s="1"/>
      <c r="F28" s="1"/>
      <c r="G28" s="1"/>
      <c r="H28" s="1"/>
      <c r="I28" s="1"/>
    </row>
    <row r="29" ht="15" hidden="1">
      <c r="C29" s="4"/>
    </row>
    <row r="30" ht="15" hidden="1">
      <c r="C30" s="4" t="s">
        <v>63</v>
      </c>
    </row>
    <row r="31" ht="15" hidden="1">
      <c r="C31" s="4"/>
    </row>
    <row r="32" ht="15">
      <c r="C32" t="s">
        <v>53</v>
      </c>
    </row>
    <row r="33" ht="15">
      <c r="C33" t="s">
        <v>54</v>
      </c>
    </row>
    <row r="34" ht="15">
      <c r="C34" t="s">
        <v>60</v>
      </c>
    </row>
    <row r="35" ht="15">
      <c r="C35" t="s">
        <v>62</v>
      </c>
    </row>
    <row r="36" ht="15">
      <c r="C36" t="s">
        <v>61</v>
      </c>
    </row>
    <row r="38" ht="15">
      <c r="C38" t="s">
        <v>73</v>
      </c>
    </row>
    <row r="39" spans="3:7" ht="15">
      <c r="C39" t="s">
        <v>100</v>
      </c>
      <c r="G39" s="86"/>
    </row>
    <row r="41" spans="1:4" ht="15">
      <c r="A41" s="76">
        <f>IF(I128=TRUE,C41,60)</f>
        <v>60</v>
      </c>
      <c r="C41" s="29">
        <f>'Using your inputs'!B20</f>
        <v>60</v>
      </c>
      <c r="D41" t="s">
        <v>20</v>
      </c>
    </row>
    <row r="42" ht="15">
      <c r="A42" s="77"/>
    </row>
    <row r="43" spans="1:4" ht="15">
      <c r="A43" s="76">
        <f>IF(I128=TRUE,C43,65)</f>
        <v>65</v>
      </c>
      <c r="C43" s="29">
        <f>'Using your inputs'!B22</f>
        <v>65</v>
      </c>
      <c r="D43" t="s">
        <v>59</v>
      </c>
    </row>
    <row r="44" spans="1:3" ht="15">
      <c r="A44" s="77"/>
      <c r="C44" t="s">
        <v>113</v>
      </c>
    </row>
    <row r="45" spans="1:3" ht="15">
      <c r="A45" s="77"/>
      <c r="C45" t="s">
        <v>114</v>
      </c>
    </row>
    <row r="46" spans="1:3" ht="15">
      <c r="A46" s="77"/>
      <c r="C46" t="s">
        <v>115</v>
      </c>
    </row>
    <row r="47" spans="1:3" ht="15">
      <c r="A47" s="77"/>
      <c r="C47" s="108" t="s">
        <v>272</v>
      </c>
    </row>
    <row r="48" spans="1:3" ht="15">
      <c r="A48" s="77"/>
      <c r="C48" s="108" t="s">
        <v>238</v>
      </c>
    </row>
    <row r="49" spans="1:3" ht="15">
      <c r="A49" s="77"/>
      <c r="C49" s="109" t="s">
        <v>269</v>
      </c>
    </row>
    <row r="50" spans="1:3" ht="15">
      <c r="A50" s="77"/>
      <c r="C50" s="110" t="s">
        <v>271</v>
      </c>
    </row>
    <row r="51" spans="1:3" ht="15">
      <c r="A51" s="77"/>
      <c r="C51" s="110" t="s">
        <v>270</v>
      </c>
    </row>
    <row r="52" ht="15">
      <c r="A52" s="77"/>
    </row>
    <row r="53" spans="1:3" ht="15">
      <c r="A53" s="77"/>
      <c r="C53" s="110" t="s">
        <v>116</v>
      </c>
    </row>
    <row r="54" ht="15">
      <c r="A54" s="77"/>
    </row>
    <row r="55" spans="1:4" ht="15">
      <c r="A55" s="78">
        <f>IF(I128=TRUE,C55,100000)</f>
        <v>100000</v>
      </c>
      <c r="C55" s="30">
        <f>'Using your inputs'!B34</f>
        <v>100000</v>
      </c>
      <c r="D55" t="s">
        <v>49</v>
      </c>
    </row>
    <row r="56" spans="1:3" ht="15">
      <c r="A56" s="77"/>
      <c r="C56" t="s">
        <v>50</v>
      </c>
    </row>
    <row r="57" spans="1:3" ht="15">
      <c r="A57" s="77"/>
      <c r="C57" s="4" t="s">
        <v>46</v>
      </c>
    </row>
    <row r="58" spans="1:3" ht="15">
      <c r="A58" s="77"/>
      <c r="C58" t="s">
        <v>51</v>
      </c>
    </row>
    <row r="59" spans="1:3" ht="15">
      <c r="A59" s="77"/>
      <c r="C59" s="4" t="s">
        <v>52</v>
      </c>
    </row>
    <row r="60" spans="1:3" ht="15">
      <c r="A60" s="77"/>
      <c r="C60" s="4"/>
    </row>
    <row r="61" spans="1:4" ht="15">
      <c r="A61" s="79">
        <f>IF(I128=TRUE,C61,90%)</f>
        <v>0.9</v>
      </c>
      <c r="C61" s="31">
        <f>'Using your inputs'!$B$40</f>
        <v>0.9</v>
      </c>
      <c r="D61" t="s">
        <v>74</v>
      </c>
    </row>
    <row r="62" spans="1:3" ht="15">
      <c r="A62" s="77"/>
      <c r="C62" s="33" t="s">
        <v>75</v>
      </c>
    </row>
    <row r="63" spans="1:3" ht="15">
      <c r="A63" s="77"/>
      <c r="C63" s="33"/>
    </row>
    <row r="64" spans="1:3" ht="15">
      <c r="A64" s="77"/>
      <c r="C64" s="4" t="s">
        <v>39</v>
      </c>
    </row>
    <row r="65" spans="1:3" ht="15">
      <c r="A65" s="77"/>
      <c r="C65" s="4"/>
    </row>
    <row r="66" spans="1:3" ht="15">
      <c r="A66" s="77"/>
      <c r="C66" s="34" t="s">
        <v>2</v>
      </c>
    </row>
    <row r="67" spans="1:4" ht="15">
      <c r="A67" s="79">
        <f>IF(I128=TRUE,C67,30%)</f>
        <v>0.3</v>
      </c>
      <c r="C67" s="31">
        <f>'Using your inputs'!$B$47</f>
        <v>0.3</v>
      </c>
      <c r="D67" t="s">
        <v>55</v>
      </c>
    </row>
    <row r="68" spans="1:4" ht="15">
      <c r="A68" s="79">
        <f>IF(I128=TRUE,C68,20%)</f>
        <v>0.25</v>
      </c>
      <c r="C68" s="31">
        <f>'Using your inputs'!$B$48</f>
        <v>0.25</v>
      </c>
      <c r="D68" t="s">
        <v>213</v>
      </c>
    </row>
    <row r="69" spans="1:6" ht="15">
      <c r="A69" s="79">
        <f>IF(I128=TRUE,C69,40%)</f>
        <v>0.3</v>
      </c>
      <c r="C69" s="31">
        <f>'Using your inputs'!$B$49</f>
        <v>0.3</v>
      </c>
      <c r="D69" t="s">
        <v>214</v>
      </c>
      <c r="F69" s="105" t="s">
        <v>99</v>
      </c>
    </row>
    <row r="70" spans="1:3" ht="15">
      <c r="A70" s="77"/>
      <c r="C70" s="4"/>
    </row>
    <row r="71" spans="1:4" ht="15">
      <c r="A71" s="77"/>
      <c r="C71" s="107">
        <v>0.005</v>
      </c>
      <c r="D71" t="s">
        <v>226</v>
      </c>
    </row>
    <row r="72" spans="1:4" ht="15">
      <c r="A72" s="77"/>
      <c r="C72" s="4"/>
      <c r="D72" t="s">
        <v>227</v>
      </c>
    </row>
    <row r="73" spans="1:4" ht="15">
      <c r="A73" s="77"/>
      <c r="C73" s="4"/>
      <c r="D73" t="s">
        <v>223</v>
      </c>
    </row>
    <row r="74" spans="1:4" ht="15">
      <c r="A74" s="77"/>
      <c r="C74" s="4"/>
      <c r="D74" t="s">
        <v>225</v>
      </c>
    </row>
    <row r="75" spans="1:4" ht="15">
      <c r="A75" s="77"/>
      <c r="C75" s="4"/>
      <c r="D75" t="s">
        <v>224</v>
      </c>
    </row>
    <row r="76" spans="1:3" ht="15">
      <c r="A76" s="77"/>
      <c r="C76" s="4"/>
    </row>
    <row r="77" spans="1:3" ht="15">
      <c r="A77" s="77"/>
      <c r="C77" s="68" t="s">
        <v>88</v>
      </c>
    </row>
    <row r="78" spans="1:3" ht="15">
      <c r="A78" s="77"/>
      <c r="C78" s="4"/>
    </row>
    <row r="79" spans="1:3" ht="15">
      <c r="A79" s="77"/>
      <c r="C79" s="4" t="s">
        <v>91</v>
      </c>
    </row>
    <row r="80" spans="1:3" ht="15">
      <c r="A80" s="77"/>
      <c r="C80" s="4" t="s">
        <v>92</v>
      </c>
    </row>
    <row r="81" spans="1:3" ht="15">
      <c r="A81" s="77"/>
      <c r="C81" s="4" t="s">
        <v>93</v>
      </c>
    </row>
    <row r="82" spans="1:3" ht="15">
      <c r="A82" s="76" t="s">
        <v>45</v>
      </c>
      <c r="C82" s="4"/>
    </row>
    <row r="83" spans="1:4" ht="15">
      <c r="A83" s="79">
        <f>IF(I128=TRUE,C84,5%)</f>
        <v>0.05</v>
      </c>
      <c r="C83" s="34" t="s">
        <v>45</v>
      </c>
      <c r="D83" s="34" t="s">
        <v>10</v>
      </c>
    </row>
    <row r="84" spans="1:5" ht="15">
      <c r="A84" s="79">
        <f>IF(I128=TRUE,C85,6%)</f>
        <v>0.06</v>
      </c>
      <c r="C84" s="31">
        <f>'Using your inputs'!$B$58</f>
        <v>0.05</v>
      </c>
      <c r="D84" s="31">
        <f>'Using your inputs'!$C$58</f>
        <v>0.03</v>
      </c>
      <c r="E84" t="s">
        <v>55</v>
      </c>
    </row>
    <row r="85" spans="1:5" ht="15">
      <c r="A85" s="79">
        <f>IF(I128=TRUE,C86,7%)</f>
        <v>0.07</v>
      </c>
      <c r="C85" s="31">
        <f>'Using your inputs'!$B$59</f>
        <v>0.06</v>
      </c>
      <c r="D85" s="31">
        <f>'Using your inputs'!$C$59</f>
        <v>0.04</v>
      </c>
      <c r="E85" t="s">
        <v>47</v>
      </c>
    </row>
    <row r="86" spans="1:5" ht="15">
      <c r="A86" s="76" t="s">
        <v>10</v>
      </c>
      <c r="C86" s="31">
        <f>'Using your inputs'!$B$60</f>
        <v>0.07</v>
      </c>
      <c r="D86" s="31">
        <f>'Using your inputs'!$C$60</f>
        <v>0.05</v>
      </c>
      <c r="E86" t="s">
        <v>48</v>
      </c>
    </row>
    <row r="87" spans="1:3" ht="15">
      <c r="A87" s="79">
        <f>IF(I128=TRUE,D84,3%)</f>
        <v>0.03</v>
      </c>
      <c r="C87" s="4" t="s">
        <v>64</v>
      </c>
    </row>
    <row r="88" spans="1:3" ht="15">
      <c r="A88" s="79">
        <f>IF(I128=TRUE,D85,4%)</f>
        <v>0.04</v>
      </c>
      <c r="C88" s="4" t="s">
        <v>65</v>
      </c>
    </row>
    <row r="89" spans="1:3" ht="15">
      <c r="A89" s="79">
        <f>IF(I128=TRUE,D86,5%)</f>
        <v>0.05</v>
      </c>
      <c r="C89" t="s">
        <v>66</v>
      </c>
    </row>
    <row r="90" spans="1:3" ht="15">
      <c r="A90" s="77"/>
      <c r="C90" t="s">
        <v>67</v>
      </c>
    </row>
    <row r="91" spans="1:3" ht="15">
      <c r="A91" s="77"/>
      <c r="C91" t="s">
        <v>68</v>
      </c>
    </row>
    <row r="92" spans="1:3" ht="15">
      <c r="A92" s="77"/>
      <c r="C92" t="s">
        <v>70</v>
      </c>
    </row>
    <row r="93" spans="1:3" ht="15">
      <c r="A93" s="77"/>
      <c r="C93" t="s">
        <v>71</v>
      </c>
    </row>
    <row r="94" spans="1:3" ht="15">
      <c r="A94" s="77"/>
      <c r="C94" t="s">
        <v>72</v>
      </c>
    </row>
    <row r="95" spans="1:3" ht="15">
      <c r="A95" s="77"/>
      <c r="C95" s="35" t="s">
        <v>56</v>
      </c>
    </row>
    <row r="96" ht="15.75" thickBot="1">
      <c r="A96" s="77"/>
    </row>
    <row r="97" spans="1:10" ht="15">
      <c r="A97" s="77"/>
      <c r="B97" s="72"/>
      <c r="C97" s="89" t="s">
        <v>200</v>
      </c>
      <c r="D97" s="90"/>
      <c r="E97" s="90"/>
      <c r="F97" s="90"/>
      <c r="G97" s="90"/>
      <c r="H97" s="90"/>
      <c r="I97" s="90"/>
      <c r="J97" s="91"/>
    </row>
    <row r="98" spans="1:10" ht="15">
      <c r="A98" s="77"/>
      <c r="B98" s="72"/>
      <c r="C98" s="92"/>
      <c r="D98" s="93"/>
      <c r="E98" s="93"/>
      <c r="F98" s="93"/>
      <c r="G98" s="93"/>
      <c r="H98" s="93"/>
      <c r="I98" s="93"/>
      <c r="J98" s="94"/>
    </row>
    <row r="99" spans="1:10" ht="15">
      <c r="A99" s="77"/>
      <c r="B99" s="72"/>
      <c r="C99" s="92" t="s">
        <v>87</v>
      </c>
      <c r="D99" s="93"/>
      <c r="E99" s="93"/>
      <c r="F99" s="93"/>
      <c r="G99" s="93"/>
      <c r="H99" s="93"/>
      <c r="I99" s="93"/>
      <c r="J99" s="94"/>
    </row>
    <row r="100" spans="1:10" ht="15">
      <c r="A100" s="77"/>
      <c r="B100" s="72"/>
      <c r="C100" s="95" t="s">
        <v>201</v>
      </c>
      <c r="D100" s="96"/>
      <c r="E100" s="93"/>
      <c r="F100" s="93"/>
      <c r="G100" s="93"/>
      <c r="H100" s="93"/>
      <c r="I100" s="93"/>
      <c r="J100" s="94"/>
    </row>
    <row r="101" spans="1:10" ht="15">
      <c r="A101" s="77"/>
      <c r="B101" s="72"/>
      <c r="C101" s="95"/>
      <c r="D101" s="96"/>
      <c r="E101" s="93"/>
      <c r="F101" s="93"/>
      <c r="G101" s="93"/>
      <c r="H101" s="93"/>
      <c r="I101" s="93"/>
      <c r="J101" s="94"/>
    </row>
    <row r="102" spans="1:10" ht="15">
      <c r="A102" s="77"/>
      <c r="B102" s="72"/>
      <c r="C102" s="100">
        <v>0.5</v>
      </c>
      <c r="D102" s="96" t="s">
        <v>196</v>
      </c>
      <c r="E102" s="93"/>
      <c r="F102" s="93"/>
      <c r="G102" s="93"/>
      <c r="H102" s="93"/>
      <c r="I102" s="93"/>
      <c r="J102" s="94"/>
    </row>
    <row r="103" spans="1:10" ht="15">
      <c r="A103" s="77"/>
      <c r="B103" s="72"/>
      <c r="C103" s="95" t="s">
        <v>205</v>
      </c>
      <c r="D103" s="102">
        <f>C102</f>
        <v>0.5</v>
      </c>
      <c r="E103" s="93" t="s">
        <v>202</v>
      </c>
      <c r="F103" s="101">
        <f>0.9-D103</f>
        <v>0.4</v>
      </c>
      <c r="G103" s="93" t="s">
        <v>204</v>
      </c>
      <c r="H103" s="103">
        <v>0.1</v>
      </c>
      <c r="I103" s="93" t="s">
        <v>203</v>
      </c>
      <c r="J103" s="94"/>
    </row>
    <row r="104" spans="1:10" ht="15">
      <c r="A104" s="77"/>
      <c r="B104" s="72"/>
      <c r="C104" s="95"/>
      <c r="D104" s="96" t="s">
        <v>206</v>
      </c>
      <c r="E104" s="93"/>
      <c r="F104" s="93"/>
      <c r="G104" s="93"/>
      <c r="H104" s="93"/>
      <c r="I104" s="93"/>
      <c r="J104" s="94"/>
    </row>
    <row r="105" spans="1:10" ht="15">
      <c r="A105" s="77"/>
      <c r="B105" s="72"/>
      <c r="C105" s="104" t="s">
        <v>197</v>
      </c>
      <c r="D105" s="93"/>
      <c r="E105" s="93"/>
      <c r="F105" s="93"/>
      <c r="G105" s="93"/>
      <c r="H105" s="93"/>
      <c r="I105" s="93"/>
      <c r="J105" s="94"/>
    </row>
    <row r="106" spans="1:10" ht="15">
      <c r="A106" s="77"/>
      <c r="B106" s="72"/>
      <c r="C106" s="95"/>
      <c r="D106" s="93"/>
      <c r="E106" s="93"/>
      <c r="F106" s="93"/>
      <c r="G106" s="93"/>
      <c r="H106" s="93"/>
      <c r="I106" s="93" t="s">
        <v>98</v>
      </c>
      <c r="J106" s="94"/>
    </row>
    <row r="107" spans="1:10" ht="15">
      <c r="A107" s="77"/>
      <c r="B107" s="72"/>
      <c r="C107" s="92"/>
      <c r="D107" s="93"/>
      <c r="E107" s="93"/>
      <c r="F107" s="93"/>
      <c r="G107" s="93"/>
      <c r="H107" s="93"/>
      <c r="I107" s="93"/>
      <c r="J107" s="94"/>
    </row>
    <row r="108" spans="1:10" ht="15">
      <c r="A108" s="77"/>
      <c r="B108" s="72"/>
      <c r="C108" s="95" t="s">
        <v>94</v>
      </c>
      <c r="D108" s="93"/>
      <c r="E108" s="93"/>
      <c r="F108" s="93"/>
      <c r="G108" s="93"/>
      <c r="H108" s="93"/>
      <c r="I108" s="93"/>
      <c r="J108" s="94"/>
    </row>
    <row r="109" spans="1:10" ht="15">
      <c r="A109" s="77"/>
      <c r="B109" s="72"/>
      <c r="C109" s="95" t="s">
        <v>95</v>
      </c>
      <c r="D109" s="93"/>
      <c r="E109" s="93"/>
      <c r="F109" s="93"/>
      <c r="G109" s="93"/>
      <c r="H109" s="93"/>
      <c r="I109" s="93"/>
      <c r="J109" s="94"/>
    </row>
    <row r="110" spans="1:10" ht="15">
      <c r="A110" s="77"/>
      <c r="B110" s="72"/>
      <c r="C110" s="95" t="s">
        <v>96</v>
      </c>
      <c r="D110" s="93"/>
      <c r="E110" s="93"/>
      <c r="F110" s="93"/>
      <c r="G110" s="93"/>
      <c r="H110" s="93"/>
      <c r="I110" s="93"/>
      <c r="J110" s="94"/>
    </row>
    <row r="111" spans="1:10" ht="15">
      <c r="A111" s="77"/>
      <c r="B111" s="72"/>
      <c r="C111" s="95" t="s">
        <v>101</v>
      </c>
      <c r="D111" s="93"/>
      <c r="E111" s="93"/>
      <c r="F111" s="93"/>
      <c r="G111" s="93"/>
      <c r="H111" s="93"/>
      <c r="I111" s="93"/>
      <c r="J111" s="94"/>
    </row>
    <row r="112" spans="1:10" ht="15">
      <c r="A112" s="77"/>
      <c r="B112" s="72"/>
      <c r="C112" s="92"/>
      <c r="D112" s="93"/>
      <c r="E112" s="93"/>
      <c r="F112" s="93"/>
      <c r="G112" s="93"/>
      <c r="H112" s="93"/>
      <c r="I112" s="93"/>
      <c r="J112" s="94"/>
    </row>
    <row r="113" spans="1:10" ht="15">
      <c r="A113" s="79">
        <f>IF(I128=TRUE,C113,1.5%)</f>
        <v>0.015</v>
      </c>
      <c r="B113" s="72"/>
      <c r="C113" s="100">
        <v>0.015</v>
      </c>
      <c r="D113" s="93" t="s">
        <v>97</v>
      </c>
      <c r="E113" s="93"/>
      <c r="F113" s="93"/>
      <c r="G113" s="93"/>
      <c r="H113" s="93"/>
      <c r="I113" s="93"/>
      <c r="J113" s="94"/>
    </row>
    <row r="114" spans="1:10" ht="15.75" thickBot="1">
      <c r="A114" s="80"/>
      <c r="B114" s="72"/>
      <c r="C114" s="97"/>
      <c r="D114" s="98"/>
      <c r="E114" s="98"/>
      <c r="F114" s="98"/>
      <c r="G114" s="98"/>
      <c r="H114" s="98"/>
      <c r="I114" s="98"/>
      <c r="J114" s="99"/>
    </row>
    <row r="115" spans="1:3" ht="15">
      <c r="A115" s="80"/>
      <c r="C115" s="4"/>
    </row>
    <row r="116" spans="1:4" ht="15">
      <c r="A116" s="78">
        <f>IF(I128=TRUE,C116,30000)</f>
        <v>30000</v>
      </c>
      <c r="C116" s="30">
        <f>'Using your inputs'!$B$72</f>
        <v>30000</v>
      </c>
      <c r="D116" t="s">
        <v>76</v>
      </c>
    </row>
    <row r="117" spans="1:10" ht="15">
      <c r="A117" s="77"/>
      <c r="C117" s="28" t="s">
        <v>210</v>
      </c>
      <c r="D117" s="28"/>
      <c r="E117" s="1"/>
      <c r="F117" s="1"/>
      <c r="G117" s="1"/>
      <c r="H117" s="1"/>
      <c r="I117" s="1"/>
      <c r="J117" s="39">
        <f>A55*I252*A61</f>
        <v>27000</v>
      </c>
    </row>
    <row r="118" spans="1:3" ht="15">
      <c r="A118" s="77"/>
      <c r="C118" t="s">
        <v>185</v>
      </c>
    </row>
    <row r="119" spans="1:3" ht="15">
      <c r="A119" s="77"/>
      <c r="C119" t="s">
        <v>186</v>
      </c>
    </row>
    <row r="120" ht="15">
      <c r="A120" s="77"/>
    </row>
    <row r="121" spans="1:8" ht="15">
      <c r="A121" s="81">
        <f>IF(I128=TRUE,C121,5100)</f>
        <v>5100</v>
      </c>
      <c r="C121" s="32">
        <f>H121</f>
        <v>5100</v>
      </c>
      <c r="D121" t="s">
        <v>105</v>
      </c>
      <c r="E121" s="7"/>
      <c r="F121" t="s">
        <v>187</v>
      </c>
      <c r="H121" s="73">
        <f>ROUND(PMT(A85-A89,90-A43,-A116-A55*(1-A67)),-2)</f>
        <v>5100</v>
      </c>
    </row>
    <row r="122" ht="15">
      <c r="E122" s="7"/>
    </row>
    <row r="123" spans="3:5" ht="15">
      <c r="C123" t="s">
        <v>171</v>
      </c>
      <c r="E123" s="7"/>
    </row>
    <row r="124" spans="3:5" ht="15">
      <c r="C124" t="s">
        <v>108</v>
      </c>
      <c r="E124" s="7"/>
    </row>
    <row r="125" ht="15">
      <c r="E125" s="7"/>
    </row>
    <row r="126" spans="3:7" ht="15">
      <c r="C126" s="1" t="s">
        <v>106</v>
      </c>
      <c r="D126" s="1"/>
      <c r="E126" s="28"/>
      <c r="F126" s="1"/>
      <c r="G126" s="1"/>
    </row>
    <row r="127" spans="3:9" ht="15">
      <c r="C127" s="1" t="s">
        <v>107</v>
      </c>
      <c r="D127" s="1"/>
      <c r="E127" s="28"/>
      <c r="F127" s="1"/>
      <c r="G127" s="1"/>
      <c r="I127" s="71"/>
    </row>
    <row r="128" spans="3:9" ht="15">
      <c r="C128" s="1" t="s">
        <v>109</v>
      </c>
      <c r="D128" s="1"/>
      <c r="E128" s="28"/>
      <c r="F128" s="1"/>
      <c r="G128" s="1"/>
      <c r="I128" s="83" t="b">
        <f>IF(G21="ThanksForAddition!",TRUE,FALSE)</f>
        <v>1</v>
      </c>
    </row>
    <row r="129" spans="3:9" ht="15">
      <c r="C129" s="1" t="s">
        <v>110</v>
      </c>
      <c r="D129" s="1"/>
      <c r="E129" s="28"/>
      <c r="F129" s="1"/>
      <c r="G129" s="1"/>
      <c r="I129" s="84">
        <v>3</v>
      </c>
    </row>
    <row r="130" spans="3:9" ht="15">
      <c r="C130" s="1" t="s">
        <v>111</v>
      </c>
      <c r="D130" s="1"/>
      <c r="E130" s="28"/>
      <c r="F130" s="1"/>
      <c r="G130" s="1"/>
      <c r="I130" s="71"/>
    </row>
    <row r="131" spans="3:7" ht="15">
      <c r="C131" s="1" t="s">
        <v>112</v>
      </c>
      <c r="D131" s="1"/>
      <c r="E131" s="1"/>
      <c r="F131" s="1"/>
      <c r="G131" s="1"/>
    </row>
    <row r="133" spans="3:5" ht="15">
      <c r="C133" s="88" t="s">
        <v>189</v>
      </c>
      <c r="D133" s="72"/>
      <c r="E133" s="72"/>
    </row>
    <row r="134" ht="15">
      <c r="C134" s="88" t="s">
        <v>188</v>
      </c>
    </row>
    <row r="135" ht="15">
      <c r="C135" s="88" t="s">
        <v>192</v>
      </c>
    </row>
    <row r="136" ht="15">
      <c r="C136" s="88" t="s">
        <v>194</v>
      </c>
    </row>
    <row r="137" ht="15">
      <c r="C137" s="88" t="s">
        <v>195</v>
      </c>
    </row>
    <row r="138" ht="15">
      <c r="C138" s="88" t="s">
        <v>193</v>
      </c>
    </row>
    <row r="140" ht="15">
      <c r="C140" s="82" t="s">
        <v>172</v>
      </c>
    </row>
    <row r="141" spans="3:9" ht="15">
      <c r="C141" s="72"/>
      <c r="D141" s="72"/>
      <c r="E141" s="72"/>
      <c r="F141" s="72"/>
      <c r="G141" s="72"/>
      <c r="H141" s="72"/>
      <c r="I141" s="72"/>
    </row>
    <row r="142" spans="3:9" ht="15">
      <c r="C142" s="87">
        <f>IF(C41&gt;59,0,IF(LOOKUP(59,G175:H241)&gt;0,1,0))</f>
        <v>0</v>
      </c>
      <c r="D142" s="36" t="str">
        <f>IF(C142&gt;0,"Caution!  IRA draw before 59 1/2.  See Introduction tab notes and financial adviser.","No problem with IRA draw before 59 1/2.")</f>
        <v>No problem with IRA draw before 59 1/2.</v>
      </c>
      <c r="E142" s="72"/>
      <c r="F142" s="72"/>
      <c r="G142" s="72"/>
      <c r="H142" s="72"/>
      <c r="I142" s="72"/>
    </row>
    <row r="143" spans="3:9" ht="15">
      <c r="C143" s="85">
        <f>IF(C41&gt;59,0,IF(LOOKUP(59,J175:K241)&gt;0,1,0))</f>
        <v>0</v>
      </c>
      <c r="D143" s="36" t="str">
        <f>IF(C143&gt;0,"Caution!  Withdrawal from Roth before 59 1/2.  See Introduction notes and professional adviser.","No problem with initial draw from Roth.")</f>
        <v>No problem with initial draw from Roth.</v>
      </c>
      <c r="E143" s="72"/>
      <c r="F143" s="72"/>
      <c r="G143" s="72"/>
      <c r="H143" s="72"/>
      <c r="I143" s="72"/>
    </row>
    <row r="144" spans="3:9" ht="15">
      <c r="C144" s="85">
        <f>IF(LOOKUP(C41+4,J175:K241)&gt;0,1,0)</f>
        <v>0</v>
      </c>
      <c r="D144" s="36" t="str">
        <f>IF(C144&gt;0,"Caution!  You have started draws from Roth less than 5 years after conversion.  See Introduction tab notes and a financial adviser.","You meet the Roth 5 year ruling.")</f>
        <v>You meet the Roth 5 year ruling.</v>
      </c>
      <c r="E144" s="77"/>
      <c r="F144" s="72"/>
      <c r="G144" s="72"/>
      <c r="H144" s="72"/>
      <c r="I144" s="72"/>
    </row>
    <row r="146" spans="3:10" ht="15">
      <c r="C146" s="1" t="s">
        <v>41</v>
      </c>
      <c r="D146" s="1"/>
      <c r="E146" s="28"/>
      <c r="F146" s="1"/>
      <c r="G146" s="1"/>
      <c r="H146" s="1"/>
      <c r="I146" s="1"/>
      <c r="J146" s="1"/>
    </row>
    <row r="147" spans="3:10" ht="15">
      <c r="C147" s="1" t="s">
        <v>42</v>
      </c>
      <c r="D147" s="1"/>
      <c r="E147" s="28"/>
      <c r="F147" s="1"/>
      <c r="G147" s="1"/>
      <c r="H147" s="1"/>
      <c r="I147" s="1"/>
      <c r="J147" s="1"/>
    </row>
    <row r="149" spans="3:13" ht="15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</row>
    <row r="150" spans="3:13" ht="15">
      <c r="C150" s="18"/>
      <c r="D150" s="17"/>
      <c r="E150" s="17"/>
      <c r="F150" s="19" t="s">
        <v>23</v>
      </c>
      <c r="G150" s="17"/>
      <c r="H150" s="17"/>
      <c r="I150" s="17"/>
      <c r="J150" s="17"/>
      <c r="K150" s="17"/>
      <c r="L150" s="17"/>
      <c r="M150" s="17"/>
    </row>
    <row r="151" spans="3:13" ht="15">
      <c r="C151" s="18"/>
      <c r="D151" s="17"/>
      <c r="E151" s="17"/>
      <c r="F151" s="17"/>
      <c r="G151" s="17"/>
      <c r="H151" s="17"/>
      <c r="I151" s="17"/>
      <c r="J151" s="17"/>
      <c r="K151" s="17"/>
      <c r="L151" s="17"/>
      <c r="M151" s="17"/>
    </row>
    <row r="152" spans="3:13" ht="15">
      <c r="C152" s="20" t="s">
        <v>24</v>
      </c>
      <c r="D152" s="17"/>
      <c r="E152" s="21"/>
      <c r="F152" s="21"/>
      <c r="G152" s="21"/>
      <c r="H152" s="21"/>
      <c r="I152" s="21"/>
      <c r="J152" s="21"/>
      <c r="K152" s="21"/>
      <c r="L152" s="21"/>
      <c r="M152" s="21"/>
    </row>
    <row r="153" spans="3:13" ht="15">
      <c r="C153" s="20" t="s">
        <v>25</v>
      </c>
      <c r="D153" s="17"/>
      <c r="E153" s="21"/>
      <c r="F153" s="21"/>
      <c r="G153" s="21"/>
      <c r="H153" s="21"/>
      <c r="I153" s="21"/>
      <c r="J153" s="21"/>
      <c r="K153" s="21"/>
      <c r="L153" s="21"/>
      <c r="M153" s="21"/>
    </row>
    <row r="154" spans="3:13" ht="15">
      <c r="C154" s="20" t="s">
        <v>26</v>
      </c>
      <c r="D154" s="17"/>
      <c r="E154" s="21"/>
      <c r="F154" s="21"/>
      <c r="G154" s="21"/>
      <c r="H154" s="21"/>
      <c r="I154" s="21"/>
      <c r="J154" s="21"/>
      <c r="K154" s="21"/>
      <c r="L154" s="21"/>
      <c r="M154" s="21"/>
    </row>
    <row r="155" spans="3:13" ht="15">
      <c r="C155" s="20" t="s">
        <v>27</v>
      </c>
      <c r="D155" s="17"/>
      <c r="E155" s="21"/>
      <c r="F155" s="21"/>
      <c r="G155" s="21"/>
      <c r="H155" s="21"/>
      <c r="I155" s="21"/>
      <c r="J155" s="21"/>
      <c r="K155" s="21"/>
      <c r="L155" s="21"/>
      <c r="M155" s="21"/>
    </row>
    <row r="156" spans="3:13" ht="15">
      <c r="C156" s="20" t="s">
        <v>28</v>
      </c>
      <c r="D156" s="17"/>
      <c r="E156" s="21"/>
      <c r="F156" s="21"/>
      <c r="G156" s="21"/>
      <c r="H156" s="21"/>
      <c r="I156" s="21"/>
      <c r="J156" s="21"/>
      <c r="K156" s="21"/>
      <c r="L156" s="21"/>
      <c r="M156" s="21"/>
    </row>
    <row r="157" spans="3:13" ht="15">
      <c r="C157" s="20" t="s">
        <v>29</v>
      </c>
      <c r="D157" s="17"/>
      <c r="E157" s="21"/>
      <c r="F157" s="21"/>
      <c r="G157" s="21"/>
      <c r="H157" s="21"/>
      <c r="I157" s="21"/>
      <c r="J157" s="21"/>
      <c r="K157" s="21"/>
      <c r="L157" s="21"/>
      <c r="M157" s="21"/>
    </row>
    <row r="158" spans="3:13" ht="15">
      <c r="C158" s="20" t="s">
        <v>30</v>
      </c>
      <c r="D158" s="17"/>
      <c r="E158" s="21"/>
      <c r="F158" s="21"/>
      <c r="G158" s="21"/>
      <c r="H158" s="21"/>
      <c r="I158" s="21"/>
      <c r="J158" s="21"/>
      <c r="K158" s="21"/>
      <c r="L158" s="21"/>
      <c r="M158" s="21"/>
    </row>
    <row r="159" spans="3:13" ht="15">
      <c r="C159" s="20" t="s">
        <v>31</v>
      </c>
      <c r="D159" s="17"/>
      <c r="E159" s="21"/>
      <c r="F159" s="21"/>
      <c r="G159" s="21"/>
      <c r="H159" s="21"/>
      <c r="I159" s="21"/>
      <c r="J159" s="21"/>
      <c r="K159" s="21"/>
      <c r="L159" s="21"/>
      <c r="M159" s="21"/>
    </row>
    <row r="160" spans="3:13" ht="15">
      <c r="C160" s="20" t="s">
        <v>32</v>
      </c>
      <c r="D160" s="17"/>
      <c r="E160" s="21"/>
      <c r="F160" s="21"/>
      <c r="G160" s="21"/>
      <c r="H160" s="21"/>
      <c r="I160" s="21"/>
      <c r="J160" s="21"/>
      <c r="K160" s="21"/>
      <c r="L160" s="21"/>
      <c r="M160" s="21"/>
    </row>
    <row r="161" spans="3:13" ht="15">
      <c r="C161" s="20" t="s">
        <v>33</v>
      </c>
      <c r="D161" s="17"/>
      <c r="E161" s="21"/>
      <c r="F161" s="21"/>
      <c r="G161" s="21"/>
      <c r="H161" s="21"/>
      <c r="I161" s="21"/>
      <c r="J161" s="21"/>
      <c r="K161" s="21"/>
      <c r="L161" s="21"/>
      <c r="M161" s="21"/>
    </row>
    <row r="162" spans="3:13" ht="15">
      <c r="C162" s="20" t="s">
        <v>34</v>
      </c>
      <c r="D162" s="17"/>
      <c r="E162" s="21"/>
      <c r="F162" s="21"/>
      <c r="G162" s="21"/>
      <c r="H162" s="21"/>
      <c r="I162" s="21"/>
      <c r="J162" s="21"/>
      <c r="K162" s="21"/>
      <c r="L162" s="21"/>
      <c r="M162" s="21"/>
    </row>
    <row r="163" spans="3:13" ht="15">
      <c r="C163" s="20" t="s">
        <v>35</v>
      </c>
      <c r="D163" s="17"/>
      <c r="E163" s="21"/>
      <c r="F163" s="21"/>
      <c r="G163" s="21"/>
      <c r="H163" s="21"/>
      <c r="I163" s="21"/>
      <c r="J163" s="21"/>
      <c r="K163" s="21"/>
      <c r="L163" s="21"/>
      <c r="M163" s="21"/>
    </row>
    <row r="164" spans="3:13" ht="15">
      <c r="C164" s="20" t="s">
        <v>36</v>
      </c>
      <c r="D164" s="17"/>
      <c r="E164" s="21"/>
      <c r="F164" s="21"/>
      <c r="G164" s="21"/>
      <c r="H164" s="21"/>
      <c r="I164" s="21"/>
      <c r="J164" s="21"/>
      <c r="K164" s="21"/>
      <c r="L164" s="21"/>
      <c r="M164" s="21"/>
    </row>
    <row r="165" spans="3:13" ht="15">
      <c r="C165" s="20" t="s">
        <v>37</v>
      </c>
      <c r="D165" s="17"/>
      <c r="E165" s="21"/>
      <c r="F165" s="21"/>
      <c r="G165" s="21"/>
      <c r="H165" s="21"/>
      <c r="I165" s="21"/>
      <c r="J165" s="21"/>
      <c r="K165" s="21"/>
      <c r="L165" s="21"/>
      <c r="M165" s="21"/>
    </row>
    <row r="166" spans="3:13" ht="15">
      <c r="C166" s="20" t="s">
        <v>38</v>
      </c>
      <c r="D166" s="17"/>
      <c r="E166" s="21"/>
      <c r="F166" s="21"/>
      <c r="G166" s="21"/>
      <c r="H166" s="21"/>
      <c r="I166" s="21"/>
      <c r="J166" s="21"/>
      <c r="K166" s="21"/>
      <c r="L166" s="21"/>
      <c r="M166" s="21"/>
    </row>
    <row r="167" spans="3:13" ht="15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</row>
    <row r="168" spans="3:10" ht="15">
      <c r="C168" s="7"/>
      <c r="E168" s="10"/>
      <c r="F168" s="10"/>
      <c r="G168" s="3"/>
      <c r="H168" s="3"/>
      <c r="I168" s="3"/>
      <c r="J168" s="3"/>
    </row>
    <row r="169" spans="2:58" ht="15">
      <c r="B169" s="37"/>
      <c r="C169" s="37"/>
      <c r="D169" s="37"/>
      <c r="E169" s="37"/>
      <c r="F169" s="36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</row>
    <row r="170" spans="2:58" ht="15">
      <c r="B170" s="37"/>
      <c r="C170" s="37"/>
      <c r="D170" s="37"/>
      <c r="E170" s="36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</row>
    <row r="171" spans="2:56" ht="15">
      <c r="B171" s="37"/>
      <c r="C171" s="37"/>
      <c r="D171" s="37"/>
      <c r="E171" s="36"/>
      <c r="F171" s="37"/>
      <c r="G171" s="37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</row>
    <row r="172" spans="2:56" ht="15">
      <c r="B172" s="37"/>
      <c r="C172" s="36"/>
      <c r="D172" s="36"/>
      <c r="E172" s="36"/>
      <c r="F172" s="37"/>
      <c r="G172" s="37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</row>
    <row r="173" spans="2:56" ht="15">
      <c r="B173" s="37"/>
      <c r="C173" s="36"/>
      <c r="D173" s="36"/>
      <c r="E173" s="36"/>
      <c r="F173" s="37"/>
      <c r="G173" s="37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</row>
    <row r="174" spans="2:56" ht="15">
      <c r="B174" s="37"/>
      <c r="C174" s="113" t="s">
        <v>5</v>
      </c>
      <c r="D174" s="114" t="s">
        <v>18</v>
      </c>
      <c r="E174" s="114" t="s">
        <v>19</v>
      </c>
      <c r="F174" s="114"/>
      <c r="G174" s="113" t="s">
        <v>5</v>
      </c>
      <c r="H174" s="114" t="s">
        <v>57</v>
      </c>
      <c r="I174" s="114"/>
      <c r="J174" s="113" t="s">
        <v>5</v>
      </c>
      <c r="K174" s="114" t="s">
        <v>58</v>
      </c>
      <c r="L174" s="114"/>
      <c r="M174" s="113" t="s">
        <v>5</v>
      </c>
      <c r="N174" s="114" t="s">
        <v>69</v>
      </c>
      <c r="O174" s="114" t="s">
        <v>45</v>
      </c>
      <c r="P174" s="114" t="s">
        <v>10</v>
      </c>
      <c r="Q174" s="36"/>
      <c r="R174" s="36"/>
      <c r="S174" s="36"/>
      <c r="T174" s="36"/>
      <c r="U174" s="36"/>
      <c r="V174" s="36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</row>
    <row r="175" spans="2:56" ht="15">
      <c r="B175" s="37"/>
      <c r="C175" s="114">
        <f>A41</f>
        <v>60</v>
      </c>
      <c r="D175" s="115">
        <f aca="true" t="shared" si="0" ref="D175:D206">T252*IF(C175&gt;105,0,1)</f>
        <v>103000</v>
      </c>
      <c r="E175" s="115">
        <f aca="true" t="shared" si="1" ref="E175:E206">AC252*IF(C175&gt;105,0,1)</f>
        <v>100000</v>
      </c>
      <c r="F175" s="114"/>
      <c r="G175" s="114">
        <f>C175</f>
        <v>60</v>
      </c>
      <c r="H175" s="115">
        <f aca="true" t="shared" si="2" ref="H175:H206">IF(G175&gt;105,0,IF(Y252+Z252&lt;0,0,Y252+Z252))</f>
        <v>0</v>
      </c>
      <c r="I175" s="115"/>
      <c r="J175" s="114">
        <f>C175</f>
        <v>60</v>
      </c>
      <c r="K175" s="115">
        <f aca="true" t="shared" si="3" ref="K175:K206">IF(J175&gt;105,0,IF(Q252&lt;0,0,Q252))</f>
        <v>0</v>
      </c>
      <c r="L175" s="114"/>
      <c r="M175" s="114">
        <f>C175</f>
        <v>60</v>
      </c>
      <c r="N175" s="116">
        <f aca="true" t="shared" si="4" ref="N175:N206">I252</f>
        <v>0.3</v>
      </c>
      <c r="O175" s="116">
        <f aca="true" t="shared" si="5" ref="O175:O206">J252</f>
        <v>0.059164388104788745</v>
      </c>
      <c r="P175" s="116">
        <f aca="true" t="shared" si="6" ref="P175:P206">K252</f>
        <v>0.019230769230769277</v>
      </c>
      <c r="Q175" s="36"/>
      <c r="R175" s="36"/>
      <c r="S175" s="36"/>
      <c r="T175" s="36"/>
      <c r="U175" s="36"/>
      <c r="V175" s="36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</row>
    <row r="176" spans="2:56" ht="15">
      <c r="B176" s="37"/>
      <c r="C176" s="114">
        <f>C175+1</f>
        <v>61</v>
      </c>
      <c r="D176" s="115">
        <f t="shared" si="0"/>
        <v>109040.68402549894</v>
      </c>
      <c r="E176" s="115">
        <f t="shared" si="1"/>
        <v>110547.38570954664</v>
      </c>
      <c r="F176" s="114"/>
      <c r="G176" s="114">
        <f aca="true" t="shared" si="7" ref="G176:G186">C176</f>
        <v>61</v>
      </c>
      <c r="H176" s="115">
        <f t="shared" si="2"/>
        <v>0</v>
      </c>
      <c r="I176" s="115"/>
      <c r="J176" s="114">
        <f aca="true" t="shared" si="8" ref="J176:J186">C176</f>
        <v>61</v>
      </c>
      <c r="K176" s="115">
        <f t="shared" si="3"/>
        <v>0</v>
      </c>
      <c r="L176" s="114"/>
      <c r="M176" s="114">
        <f aca="true" t="shared" si="9" ref="M176:M239">C176</f>
        <v>61</v>
      </c>
      <c r="N176" s="116">
        <f t="shared" si="4"/>
        <v>0.25125</v>
      </c>
      <c r="O176" s="116">
        <f t="shared" si="5"/>
        <v>-0.06159847242710513</v>
      </c>
      <c r="P176" s="116">
        <f t="shared" si="6"/>
        <v>0.03459119496855339</v>
      </c>
      <c r="Q176" s="36"/>
      <c r="R176" s="36"/>
      <c r="S176" s="36"/>
      <c r="T176" s="36"/>
      <c r="U176" s="36"/>
      <c r="V176" s="36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</row>
    <row r="177" spans="2:56" ht="15">
      <c r="B177" s="37"/>
      <c r="C177" s="114">
        <f>C176+1</f>
        <v>62</v>
      </c>
      <c r="D177" s="115">
        <f t="shared" si="0"/>
        <v>102372.2972012207</v>
      </c>
      <c r="E177" s="115">
        <f t="shared" si="1"/>
        <v>104096.50167412666</v>
      </c>
      <c r="F177" s="114"/>
      <c r="G177" s="114">
        <f t="shared" si="7"/>
        <v>62</v>
      </c>
      <c r="H177" s="115">
        <f t="shared" si="2"/>
        <v>0</v>
      </c>
      <c r="I177" s="115"/>
      <c r="J177" s="114">
        <f t="shared" si="8"/>
        <v>62</v>
      </c>
      <c r="K177" s="115">
        <f t="shared" si="3"/>
        <v>0</v>
      </c>
      <c r="L177" s="114"/>
      <c r="M177" s="114">
        <f t="shared" si="9"/>
        <v>62</v>
      </c>
      <c r="N177" s="116">
        <f t="shared" si="4"/>
        <v>0.25250624999999993</v>
      </c>
      <c r="O177" s="116">
        <f t="shared" si="5"/>
        <v>0.10445413437899188</v>
      </c>
      <c r="P177" s="116">
        <f t="shared" si="6"/>
        <v>0.030395136778115502</v>
      </c>
      <c r="Q177" s="36"/>
      <c r="R177" s="36"/>
      <c r="S177" s="36"/>
      <c r="T177" s="36"/>
      <c r="U177" s="36"/>
      <c r="V177" s="36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</row>
    <row r="178" spans="2:56" ht="15">
      <c r="B178" s="37"/>
      <c r="C178" s="114">
        <f aca="true" t="shared" si="10" ref="C178:C241">C177+1</f>
        <v>63</v>
      </c>
      <c r="D178" s="115">
        <f t="shared" si="0"/>
        <v>112986.90449499743</v>
      </c>
      <c r="E178" s="115">
        <f t="shared" si="1"/>
        <v>114045.19450847845</v>
      </c>
      <c r="F178" s="114"/>
      <c r="G178" s="114">
        <f t="shared" si="7"/>
        <v>63</v>
      </c>
      <c r="H178" s="115">
        <f t="shared" si="2"/>
        <v>0</v>
      </c>
      <c r="I178" s="115"/>
      <c r="J178" s="114">
        <f t="shared" si="8"/>
        <v>63</v>
      </c>
      <c r="K178" s="115">
        <f t="shared" si="3"/>
        <v>0</v>
      </c>
      <c r="L178" s="114"/>
      <c r="M178" s="114">
        <f t="shared" si="9"/>
        <v>63</v>
      </c>
      <c r="N178" s="116">
        <f t="shared" si="4"/>
        <v>0.2537687812499999</v>
      </c>
      <c r="O178" s="116">
        <f t="shared" si="5"/>
        <v>0.13533354733720004</v>
      </c>
      <c r="P178" s="116">
        <f t="shared" si="6"/>
        <v>0.04719764011799414</v>
      </c>
      <c r="Q178" s="36"/>
      <c r="R178" s="36"/>
      <c r="S178" s="36"/>
      <c r="T178" s="36"/>
      <c r="U178" s="36"/>
      <c r="V178" s="36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</row>
    <row r="179" spans="2:56" ht="15">
      <c r="B179" s="37"/>
      <c r="C179" s="114">
        <f t="shared" si="10"/>
        <v>64</v>
      </c>
      <c r="D179" s="115">
        <f t="shared" si="0"/>
        <v>128167.48328566198</v>
      </c>
      <c r="E179" s="115">
        <f t="shared" si="1"/>
        <v>128217.80101705305</v>
      </c>
      <c r="F179" s="114"/>
      <c r="G179" s="114">
        <f t="shared" si="7"/>
        <v>64</v>
      </c>
      <c r="H179" s="115">
        <f t="shared" si="2"/>
        <v>0</v>
      </c>
      <c r="I179" s="115"/>
      <c r="J179" s="114">
        <f t="shared" si="8"/>
        <v>64</v>
      </c>
      <c r="K179" s="115">
        <f t="shared" si="3"/>
        <v>0</v>
      </c>
      <c r="L179" s="114"/>
      <c r="M179" s="114">
        <f t="shared" si="9"/>
        <v>64</v>
      </c>
      <c r="N179" s="116">
        <f t="shared" si="4"/>
        <v>0.25503762515624984</v>
      </c>
      <c r="O179" s="116">
        <f t="shared" si="5"/>
        <v>-0.06026575842155586</v>
      </c>
      <c r="P179" s="116">
        <f t="shared" si="6"/>
        <v>0.06197183098591557</v>
      </c>
      <c r="Q179" s="36"/>
      <c r="R179" s="36"/>
      <c r="S179" s="36"/>
      <c r="T179" s="36"/>
      <c r="U179" s="36"/>
      <c r="V179" s="36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</row>
    <row r="180" spans="2:56" ht="15">
      <c r="B180" s="37"/>
      <c r="C180" s="114">
        <f t="shared" si="10"/>
        <v>65</v>
      </c>
      <c r="D180" s="115">
        <f t="shared" si="0"/>
        <v>120497.74113462362</v>
      </c>
      <c r="E180" s="115">
        <f t="shared" si="1"/>
        <v>114881.1603482604</v>
      </c>
      <c r="F180" s="114"/>
      <c r="G180" s="114">
        <f t="shared" si="7"/>
        <v>65</v>
      </c>
      <c r="H180" s="115">
        <f t="shared" si="2"/>
        <v>0</v>
      </c>
      <c r="I180" s="115"/>
      <c r="J180" s="114">
        <f t="shared" si="8"/>
        <v>65</v>
      </c>
      <c r="K180" s="115">
        <f t="shared" si="3"/>
        <v>0</v>
      </c>
      <c r="L180" s="114"/>
      <c r="M180" s="114">
        <f t="shared" si="9"/>
        <v>65</v>
      </c>
      <c r="N180" s="116">
        <f t="shared" si="4"/>
        <v>0.30757537593843726</v>
      </c>
      <c r="O180" s="116">
        <f t="shared" si="5"/>
        <v>0.05591255050997443</v>
      </c>
      <c r="P180" s="116">
        <f t="shared" si="6"/>
        <v>0.05570291777188313</v>
      </c>
      <c r="Q180" s="36"/>
      <c r="R180" s="36"/>
      <c r="S180" s="36"/>
      <c r="T180" s="36"/>
      <c r="U180" s="36"/>
      <c r="V180" s="36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</row>
    <row r="181" spans="2:56" ht="15">
      <c r="B181" s="37"/>
      <c r="C181" s="114">
        <f t="shared" si="10"/>
        <v>66</v>
      </c>
      <c r="D181" s="115">
        <f t="shared" si="0"/>
        <v>120895.1848806137</v>
      </c>
      <c r="E181" s="115">
        <f t="shared" si="1"/>
        <v>114251.47207011824</v>
      </c>
      <c r="F181" s="114"/>
      <c r="G181" s="114">
        <f t="shared" si="7"/>
        <v>66</v>
      </c>
      <c r="H181" s="115">
        <f t="shared" si="2"/>
        <v>0</v>
      </c>
      <c r="I181" s="115"/>
      <c r="J181" s="114">
        <f t="shared" si="8"/>
        <v>66</v>
      </c>
      <c r="K181" s="115">
        <f t="shared" si="3"/>
        <v>0</v>
      </c>
      <c r="L181" s="114"/>
      <c r="M181" s="114">
        <f t="shared" si="9"/>
        <v>66</v>
      </c>
      <c r="N181" s="116">
        <f t="shared" si="4"/>
        <v>0.30911325281812935</v>
      </c>
      <c r="O181" s="116">
        <f t="shared" si="5"/>
        <v>0.09959598302970933</v>
      </c>
      <c r="P181" s="116">
        <f t="shared" si="6"/>
        <v>0.03266331658291468</v>
      </c>
      <c r="Q181" s="36"/>
      <c r="R181" s="36"/>
      <c r="S181" s="36"/>
      <c r="T181" s="36"/>
      <c r="U181" s="36"/>
      <c r="V181" s="36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</row>
    <row r="182" spans="2:56" ht="15">
      <c r="B182" s="37"/>
      <c r="C182" s="114">
        <f t="shared" si="10"/>
        <v>67</v>
      </c>
      <c r="D182" s="115">
        <f t="shared" si="0"/>
        <v>126291.61636885595</v>
      </c>
      <c r="E182" s="115">
        <f t="shared" si="1"/>
        <v>117803.69660960554</v>
      </c>
      <c r="F182" s="114"/>
      <c r="G182" s="114">
        <f t="shared" si="7"/>
        <v>67</v>
      </c>
      <c r="H182" s="115">
        <f t="shared" si="2"/>
        <v>0</v>
      </c>
      <c r="I182" s="115"/>
      <c r="J182" s="114">
        <f t="shared" si="8"/>
        <v>67</v>
      </c>
      <c r="K182" s="115">
        <f t="shared" si="3"/>
        <v>2772.501514736032</v>
      </c>
      <c r="L182" s="114"/>
      <c r="M182" s="114">
        <f t="shared" si="9"/>
        <v>67</v>
      </c>
      <c r="N182" s="116">
        <f t="shared" si="4"/>
        <v>0.31065881908222</v>
      </c>
      <c r="O182" s="116">
        <f t="shared" si="5"/>
        <v>0.11749621557698085</v>
      </c>
      <c r="P182" s="116">
        <f t="shared" si="6"/>
        <v>0.03406326034063257</v>
      </c>
      <c r="Q182" s="36"/>
      <c r="R182" s="36"/>
      <c r="S182" s="36"/>
      <c r="T182" s="36"/>
      <c r="U182" s="36"/>
      <c r="V182" s="36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</row>
    <row r="183" spans="2:56" ht="15">
      <c r="B183" s="37"/>
      <c r="C183" s="114">
        <f t="shared" si="10"/>
        <v>68</v>
      </c>
      <c r="D183" s="115">
        <f t="shared" si="0"/>
        <v>134443.26312138035</v>
      </c>
      <c r="E183" s="115">
        <f t="shared" si="1"/>
        <v>123540.4356999619</v>
      </c>
      <c r="F183" s="114"/>
      <c r="G183" s="114">
        <f t="shared" si="7"/>
        <v>68</v>
      </c>
      <c r="H183" s="115">
        <f t="shared" si="2"/>
        <v>0</v>
      </c>
      <c r="I183" s="115"/>
      <c r="J183" s="114">
        <f t="shared" si="8"/>
        <v>68</v>
      </c>
      <c r="K183" s="115">
        <f t="shared" si="3"/>
        <v>9692.87482204843</v>
      </c>
      <c r="L183" s="114"/>
      <c r="M183" s="114">
        <f t="shared" si="9"/>
        <v>68</v>
      </c>
      <c r="N183" s="116">
        <f t="shared" si="4"/>
        <v>0.31221211317763103</v>
      </c>
      <c r="O183" s="116">
        <f t="shared" si="5"/>
        <v>-0.06920670922636307</v>
      </c>
      <c r="P183" s="116">
        <f t="shared" si="6"/>
        <v>0.08705882352941183</v>
      </c>
      <c r="Q183" s="36"/>
      <c r="R183" s="36"/>
      <c r="S183" s="36"/>
      <c r="T183" s="36"/>
      <c r="U183" s="36"/>
      <c r="V183" s="36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</row>
    <row r="184" spans="2:56" ht="15">
      <c r="B184" s="37"/>
      <c r="C184" s="114">
        <f t="shared" si="10"/>
        <v>69</v>
      </c>
      <c r="D184" s="115">
        <f t="shared" si="0"/>
        <v>118146.72103335218</v>
      </c>
      <c r="E184" s="115">
        <f t="shared" si="1"/>
        <v>108399.0551897296</v>
      </c>
      <c r="F184" s="114"/>
      <c r="G184" s="114">
        <f t="shared" si="7"/>
        <v>69</v>
      </c>
      <c r="H184" s="115">
        <f t="shared" si="2"/>
        <v>0</v>
      </c>
      <c r="I184" s="115"/>
      <c r="J184" s="114">
        <f t="shared" si="8"/>
        <v>69</v>
      </c>
      <c r="K184" s="115">
        <f t="shared" si="3"/>
        <v>14583.51042904906</v>
      </c>
      <c r="L184" s="114"/>
      <c r="M184" s="114">
        <f t="shared" si="9"/>
        <v>69</v>
      </c>
      <c r="N184" s="116">
        <f t="shared" si="4"/>
        <v>0.3137731737435192</v>
      </c>
      <c r="O184" s="116">
        <f t="shared" si="5"/>
        <v>-0.13841003417611597</v>
      </c>
      <c r="P184" s="116">
        <f t="shared" si="6"/>
        <v>0.12337662337662328</v>
      </c>
      <c r="Q184" s="36"/>
      <c r="R184" s="36"/>
      <c r="S184" s="36"/>
      <c r="T184" s="36"/>
      <c r="U184" s="36"/>
      <c r="V184" s="36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</row>
    <row r="185" spans="2:56" ht="15">
      <c r="B185" s="37"/>
      <c r="C185" s="114">
        <f t="shared" si="10"/>
        <v>70</v>
      </c>
      <c r="D185" s="115">
        <f t="shared" si="0"/>
        <v>94430.62922453719</v>
      </c>
      <c r="E185" s="115">
        <f t="shared" si="1"/>
        <v>86503.35586695722</v>
      </c>
      <c r="F185" s="114"/>
      <c r="G185" s="114">
        <f t="shared" si="7"/>
        <v>70</v>
      </c>
      <c r="H185" s="115">
        <f t="shared" si="2"/>
        <v>15593.330321039753</v>
      </c>
      <c r="I185" s="115"/>
      <c r="J185" s="114">
        <f t="shared" si="8"/>
        <v>70</v>
      </c>
      <c r="K185" s="115">
        <f t="shared" si="3"/>
        <v>11208.93109566968</v>
      </c>
      <c r="L185" s="114"/>
      <c r="M185" s="114">
        <f t="shared" si="9"/>
        <v>70</v>
      </c>
      <c r="N185" s="116">
        <f t="shared" si="4"/>
        <v>0.3153420396122367</v>
      </c>
      <c r="O185" s="116">
        <f t="shared" si="5"/>
        <v>0.2211704055047879</v>
      </c>
      <c r="P185" s="116">
        <f t="shared" si="6"/>
        <v>0.06936416184971102</v>
      </c>
      <c r="Q185" s="36"/>
      <c r="R185" s="36"/>
      <c r="S185" s="36"/>
      <c r="T185" s="36"/>
      <c r="U185" s="36"/>
      <c r="V185" s="36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</row>
    <row r="186" spans="2:56" ht="15">
      <c r="B186" s="37"/>
      <c r="C186" s="114">
        <f t="shared" si="10"/>
        <v>71</v>
      </c>
      <c r="D186" s="115">
        <f t="shared" si="0"/>
        <v>106039.41693042085</v>
      </c>
      <c r="E186" s="115">
        <f t="shared" si="1"/>
        <v>96244.86898361443</v>
      </c>
      <c r="F186" s="114"/>
      <c r="G186" s="114">
        <f t="shared" si="7"/>
        <v>71</v>
      </c>
      <c r="H186" s="115">
        <f t="shared" si="2"/>
        <v>16895.340330933715</v>
      </c>
      <c r="I186" s="115"/>
      <c r="J186" s="114">
        <f t="shared" si="8"/>
        <v>71</v>
      </c>
      <c r="K186" s="115">
        <f t="shared" si="3"/>
        <v>3446.644331830141</v>
      </c>
      <c r="L186" s="114"/>
      <c r="M186" s="114">
        <f t="shared" si="9"/>
        <v>71</v>
      </c>
      <c r="N186" s="116">
        <f t="shared" si="4"/>
        <v>0.3169187498102979</v>
      </c>
      <c r="O186" s="116">
        <f t="shared" si="5"/>
        <v>0.16792948505021343</v>
      </c>
      <c r="P186" s="116">
        <f t="shared" si="6"/>
        <v>0.0486486486486487</v>
      </c>
      <c r="Q186" s="36"/>
      <c r="R186" s="36"/>
      <c r="S186" s="36"/>
      <c r="T186" s="36"/>
      <c r="U186" s="36"/>
      <c r="V186" s="36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</row>
    <row r="187" spans="2:56" ht="15">
      <c r="B187" s="37"/>
      <c r="C187" s="114">
        <f t="shared" si="10"/>
        <v>72</v>
      </c>
      <c r="D187" s="115">
        <f t="shared" si="0"/>
        <v>114217.58812889732</v>
      </c>
      <c r="E187" s="115">
        <f t="shared" si="1"/>
        <v>102517.95590350677</v>
      </c>
      <c r="F187" s="114"/>
      <c r="G187" s="114">
        <f>C187</f>
        <v>72</v>
      </c>
      <c r="H187" s="115">
        <f t="shared" si="2"/>
        <v>5284.107469446932</v>
      </c>
      <c r="I187" s="115"/>
      <c r="J187" s="114">
        <f>C187</f>
        <v>72</v>
      </c>
      <c r="K187" s="115">
        <f t="shared" si="3"/>
        <v>1036.9398945893663</v>
      </c>
      <c r="L187" s="114"/>
      <c r="M187" s="114">
        <f t="shared" si="9"/>
        <v>72</v>
      </c>
      <c r="N187" s="116">
        <f t="shared" si="4"/>
        <v>0.3185033435593493</v>
      </c>
      <c r="O187" s="116">
        <f t="shared" si="5"/>
        <v>-0.023288497192447313</v>
      </c>
      <c r="P187" s="116">
        <f t="shared" si="6"/>
        <v>0.06701030927835049</v>
      </c>
      <c r="Q187" s="36"/>
      <c r="R187" s="36"/>
      <c r="S187" s="36"/>
      <c r="T187" s="36"/>
      <c r="U187" s="36"/>
      <c r="V187" s="36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</row>
    <row r="188" spans="2:56" ht="15">
      <c r="B188" s="37"/>
      <c r="C188" s="114">
        <f t="shared" si="10"/>
        <v>73</v>
      </c>
      <c r="D188" s="115">
        <f t="shared" si="0"/>
        <v>102070.8168685441</v>
      </c>
      <c r="E188" s="115">
        <f t="shared" si="1"/>
        <v>90747.34982599251</v>
      </c>
      <c r="F188" s="114"/>
      <c r="G188" s="114">
        <f>C188</f>
        <v>73</v>
      </c>
      <c r="H188" s="115">
        <f t="shared" si="2"/>
        <v>18521.739271598537</v>
      </c>
      <c r="I188" s="115"/>
      <c r="J188" s="114">
        <f>C188</f>
        <v>73</v>
      </c>
      <c r="K188" s="115">
        <f t="shared" si="3"/>
        <v>7104.005223061874</v>
      </c>
      <c r="L188" s="114"/>
      <c r="M188" s="114">
        <f t="shared" si="9"/>
        <v>73</v>
      </c>
      <c r="N188" s="116">
        <f t="shared" si="4"/>
        <v>0.320095860277146</v>
      </c>
      <c r="O188" s="116">
        <f t="shared" si="5"/>
        <v>0.032827298471134955</v>
      </c>
      <c r="P188" s="116">
        <f t="shared" si="6"/>
        <v>0.09017713365539455</v>
      </c>
      <c r="Q188" s="36"/>
      <c r="R188" s="36"/>
      <c r="S188" s="36"/>
      <c r="T188" s="36"/>
      <c r="U188" s="36"/>
      <c r="V188" s="36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</row>
    <row r="189" spans="2:56" ht="15">
      <c r="B189" s="37"/>
      <c r="C189" s="114">
        <f t="shared" si="10"/>
        <v>74</v>
      </c>
      <c r="D189" s="115">
        <f t="shared" si="0"/>
        <v>95281.78549049364</v>
      </c>
      <c r="E189" s="115">
        <f t="shared" si="1"/>
        <v>83768.84292159753</v>
      </c>
      <c r="F189" s="114"/>
      <c r="G189" s="114">
        <f>C189</f>
        <v>74</v>
      </c>
      <c r="H189" s="115">
        <f t="shared" si="2"/>
        <v>19324.617118887854</v>
      </c>
      <c r="I189" s="115"/>
      <c r="J189" s="114">
        <f>C189</f>
        <v>74</v>
      </c>
      <c r="K189" s="115">
        <f t="shared" si="3"/>
        <v>15400.513388577327</v>
      </c>
      <c r="L189" s="114"/>
      <c r="M189" s="114">
        <f t="shared" si="9"/>
        <v>74</v>
      </c>
      <c r="N189" s="116">
        <f t="shared" si="4"/>
        <v>0.32169633957853166</v>
      </c>
      <c r="O189" s="116">
        <f t="shared" si="5"/>
        <v>0.08237892266799905</v>
      </c>
      <c r="P189" s="116">
        <f t="shared" si="6"/>
        <v>0.1329394387001477</v>
      </c>
      <c r="Q189" s="36"/>
      <c r="R189" s="36"/>
      <c r="S189" s="36"/>
      <c r="T189" s="36"/>
      <c r="U189" s="36"/>
      <c r="V189" s="36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</row>
    <row r="190" spans="2:56" ht="15">
      <c r="B190" s="37"/>
      <c r="C190" s="114">
        <f t="shared" si="10"/>
        <v>75</v>
      </c>
      <c r="D190" s="115">
        <f t="shared" si="0"/>
        <v>92050.29013299767</v>
      </c>
      <c r="E190" s="115">
        <f t="shared" si="1"/>
        <v>79394.04672642468</v>
      </c>
      <c r="F190" s="114"/>
      <c r="G190" s="114">
        <f>C190</f>
        <v>75</v>
      </c>
      <c r="H190" s="115">
        <f t="shared" si="2"/>
        <v>20997.22886731338</v>
      </c>
      <c r="I190" s="115"/>
      <c r="J190" s="114">
        <f>C190</f>
        <v>75</v>
      </c>
      <c r="K190" s="115">
        <f t="shared" si="3"/>
        <v>18825.203313818743</v>
      </c>
      <c r="L190" s="114"/>
      <c r="M190" s="114">
        <f t="shared" si="9"/>
        <v>75</v>
      </c>
      <c r="N190" s="116">
        <f t="shared" si="4"/>
        <v>0.32330482127642424</v>
      </c>
      <c r="O190" s="116">
        <f t="shared" si="5"/>
        <v>0.1397165902717712</v>
      </c>
      <c r="P190" s="116">
        <f t="shared" si="6"/>
        <v>0.12516297262059967</v>
      </c>
      <c r="Q190" s="36"/>
      <c r="R190" s="36"/>
      <c r="S190" s="36"/>
      <c r="T190" s="36"/>
      <c r="U190" s="36"/>
      <c r="V190" s="36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</row>
    <row r="191" spans="2:56" ht="15">
      <c r="B191" s="37"/>
      <c r="C191" s="114">
        <f t="shared" si="10"/>
        <v>76</v>
      </c>
      <c r="D191" s="115">
        <f t="shared" si="0"/>
        <v>92052.50479887197</v>
      </c>
      <c r="E191" s="115">
        <f t="shared" si="1"/>
        <v>77108.26322131735</v>
      </c>
      <c r="F191" s="114"/>
      <c r="G191" s="114">
        <f>C191</f>
        <v>76</v>
      </c>
      <c r="H191" s="115">
        <f t="shared" si="2"/>
        <v>4230.2001611889755</v>
      </c>
      <c r="I191" s="115"/>
      <c r="J191" s="114">
        <f>C191</f>
        <v>76</v>
      </c>
      <c r="K191" s="115">
        <f t="shared" si="3"/>
        <v>15421.8572385835</v>
      </c>
      <c r="L191" s="114"/>
      <c r="M191" s="114">
        <f t="shared" si="9"/>
        <v>76</v>
      </c>
      <c r="N191" s="116">
        <f t="shared" si="4"/>
        <v>0.3249213453828063</v>
      </c>
      <c r="O191" s="116">
        <f t="shared" si="5"/>
        <v>0.010887495182382991</v>
      </c>
      <c r="P191" s="116">
        <f t="shared" si="6"/>
        <v>0.08922363847045195</v>
      </c>
      <c r="Q191" s="36"/>
      <c r="R191" s="36"/>
      <c r="S191" s="36"/>
      <c r="T191" s="36"/>
      <c r="U191" s="36"/>
      <c r="V191" s="36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</row>
    <row r="192" spans="2:56" ht="15">
      <c r="B192" s="37"/>
      <c r="C192" s="114">
        <f t="shared" si="10"/>
        <v>77</v>
      </c>
      <c r="D192" s="115">
        <f t="shared" si="0"/>
        <v>78905.29489567585</v>
      </c>
      <c r="E192" s="115">
        <f t="shared" si="1"/>
        <v>63725.65411704781</v>
      </c>
      <c r="F192" s="114"/>
      <c r="G192" s="114">
        <f aca="true" t="shared" si="11" ref="G192:G241">C192</f>
        <v>77</v>
      </c>
      <c r="H192" s="115">
        <f t="shared" si="2"/>
        <v>24594.926693179794</v>
      </c>
      <c r="I192" s="115"/>
      <c r="J192" s="114">
        <f aca="true" t="shared" si="12" ref="J192:J241">C192</f>
        <v>77</v>
      </c>
      <c r="K192" s="115">
        <f t="shared" si="3"/>
        <v>10294.984629743265</v>
      </c>
      <c r="L192" s="114"/>
      <c r="M192" s="114">
        <f t="shared" si="9"/>
        <v>77</v>
      </c>
      <c r="N192" s="116">
        <f t="shared" si="4"/>
        <v>0.32654595210972037</v>
      </c>
      <c r="O192" s="116">
        <f t="shared" si="5"/>
        <v>0.2432651487920664</v>
      </c>
      <c r="P192" s="116">
        <f t="shared" si="6"/>
        <v>0.03829787234042547</v>
      </c>
      <c r="Q192" s="36"/>
      <c r="R192" s="36"/>
      <c r="S192" s="36"/>
      <c r="T192" s="36"/>
      <c r="U192" s="36"/>
      <c r="V192" s="36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</row>
    <row r="193" spans="2:56" ht="15">
      <c r="B193" s="37"/>
      <c r="C193" s="114">
        <f t="shared" si="10"/>
        <v>78</v>
      </c>
      <c r="D193" s="115">
        <f t="shared" si="0"/>
        <v>81786.23872192297</v>
      </c>
      <c r="E193" s="115">
        <f t="shared" si="1"/>
        <v>62420.786367651366</v>
      </c>
      <c r="F193" s="114"/>
      <c r="G193" s="114">
        <f t="shared" si="11"/>
        <v>78</v>
      </c>
      <c r="H193" s="115">
        <f t="shared" si="2"/>
        <v>25305.829831863724</v>
      </c>
      <c r="I193" s="115"/>
      <c r="J193" s="114">
        <f t="shared" si="12"/>
        <v>78</v>
      </c>
      <c r="K193" s="115">
        <f t="shared" si="3"/>
        <v>9050.692394244696</v>
      </c>
      <c r="L193" s="114"/>
      <c r="M193" s="114">
        <f t="shared" si="9"/>
        <v>78</v>
      </c>
      <c r="N193" s="116">
        <f t="shared" si="4"/>
        <v>0.32817868187026883</v>
      </c>
      <c r="O193" s="116">
        <f t="shared" si="5"/>
        <v>0.1360357934137421</v>
      </c>
      <c r="P193" s="116">
        <f t="shared" si="6"/>
        <v>0.0379098360655738</v>
      </c>
      <c r="Q193" s="36"/>
      <c r="R193" s="36"/>
      <c r="S193" s="36"/>
      <c r="T193" s="36"/>
      <c r="U193" s="36"/>
      <c r="V193" s="36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</row>
    <row r="194" spans="2:56" ht="15">
      <c r="B194" s="37"/>
      <c r="C194" s="114">
        <f t="shared" si="10"/>
        <v>79</v>
      </c>
      <c r="D194" s="115">
        <f t="shared" si="0"/>
        <v>76742.35498946284</v>
      </c>
      <c r="E194" s="115">
        <f t="shared" si="1"/>
        <v>54341.26251793831</v>
      </c>
      <c r="F194" s="114"/>
      <c r="G194" s="114">
        <f t="shared" si="11"/>
        <v>79</v>
      </c>
      <c r="H194" s="115">
        <f t="shared" si="2"/>
        <v>25505.72996372292</v>
      </c>
      <c r="I194" s="115"/>
      <c r="J194" s="114">
        <f t="shared" si="12"/>
        <v>79</v>
      </c>
      <c r="K194" s="115">
        <f t="shared" si="3"/>
        <v>16019.18478960665</v>
      </c>
      <c r="L194" s="114"/>
      <c r="M194" s="114">
        <f t="shared" si="9"/>
        <v>79</v>
      </c>
      <c r="N194" s="116">
        <f t="shared" si="4"/>
        <v>0.3298195752796202</v>
      </c>
      <c r="O194" s="116">
        <f t="shared" si="5"/>
        <v>0.09467791085794978</v>
      </c>
      <c r="P194" s="116">
        <f t="shared" si="6"/>
        <v>0.039486673247778874</v>
      </c>
      <c r="Q194" s="36"/>
      <c r="R194" s="36"/>
      <c r="S194" s="36"/>
      <c r="T194" s="36"/>
      <c r="U194" s="36"/>
      <c r="V194" s="36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</row>
    <row r="195" spans="2:56" ht="15">
      <c r="B195" s="37"/>
      <c r="C195" s="114">
        <f t="shared" si="10"/>
        <v>80</v>
      </c>
      <c r="D195" s="115">
        <f t="shared" si="0"/>
        <v>67445.41460996625</v>
      </c>
      <c r="E195" s="115">
        <f t="shared" si="1"/>
        <v>42660.27781219198</v>
      </c>
      <c r="F195" s="114"/>
      <c r="G195" s="114">
        <f t="shared" si="11"/>
        <v>80</v>
      </c>
      <c r="H195" s="115">
        <f t="shared" si="2"/>
        <v>25470.992123504027</v>
      </c>
      <c r="I195" s="115"/>
      <c r="J195" s="114">
        <f t="shared" si="12"/>
        <v>80</v>
      </c>
      <c r="K195" s="115">
        <f t="shared" si="3"/>
        <v>24701.805454982692</v>
      </c>
      <c r="L195" s="114"/>
      <c r="M195" s="114">
        <f t="shared" si="9"/>
        <v>80</v>
      </c>
      <c r="N195" s="116">
        <f t="shared" si="4"/>
        <v>0.33146867315601825</v>
      </c>
      <c r="O195" s="116">
        <f t="shared" si="5"/>
        <v>0.26928964509186937</v>
      </c>
      <c r="P195" s="116">
        <f t="shared" si="6"/>
        <v>0.03798670465337132</v>
      </c>
      <c r="Q195" s="36"/>
      <c r="R195" s="36"/>
      <c r="S195" s="36"/>
      <c r="T195" s="36"/>
      <c r="U195" s="36"/>
      <c r="V195" s="36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</row>
    <row r="196" spans="2:56" ht="15">
      <c r="B196" s="37"/>
      <c r="C196" s="114">
        <f t="shared" si="10"/>
        <v>81</v>
      </c>
      <c r="D196" s="115">
        <f t="shared" si="0"/>
        <v>68137.93613357146</v>
      </c>
      <c r="E196" s="115">
        <f t="shared" si="1"/>
        <v>34565.795349872365</v>
      </c>
      <c r="F196" s="114"/>
      <c r="G196" s="114">
        <f t="shared" si="11"/>
        <v>81</v>
      </c>
      <c r="H196" s="115">
        <f t="shared" si="2"/>
        <v>25597.00389972283</v>
      </c>
      <c r="I196" s="115"/>
      <c r="J196" s="114">
        <f t="shared" si="12"/>
        <v>81</v>
      </c>
      <c r="K196" s="115">
        <f t="shared" si="3"/>
        <v>26825.750749727704</v>
      </c>
      <c r="L196" s="114"/>
      <c r="M196" s="114">
        <f t="shared" si="9"/>
        <v>81</v>
      </c>
      <c r="N196" s="116">
        <f t="shared" si="4"/>
        <v>0.33312601652179824</v>
      </c>
      <c r="O196" s="116">
        <f t="shared" si="5"/>
        <v>0.1680686900215903</v>
      </c>
      <c r="P196" s="116">
        <f t="shared" si="6"/>
        <v>0.010978956999085113</v>
      </c>
      <c r="Q196" s="36"/>
      <c r="R196" s="36"/>
      <c r="S196" s="36"/>
      <c r="T196" s="36"/>
      <c r="U196" s="36"/>
      <c r="V196" s="36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</row>
    <row r="197" spans="2:56" ht="15">
      <c r="B197" s="37"/>
      <c r="C197" s="114">
        <f t="shared" si="10"/>
        <v>82</v>
      </c>
      <c r="D197" s="115">
        <f t="shared" si="0"/>
        <v>61286.50181300637</v>
      </c>
      <c r="E197" s="115">
        <f t="shared" si="1"/>
        <v>21186.929852624286</v>
      </c>
      <c r="F197" s="114"/>
      <c r="G197" s="114">
        <f t="shared" si="11"/>
        <v>82</v>
      </c>
      <c r="H197" s="115">
        <f t="shared" si="2"/>
        <v>24668.206150145947</v>
      </c>
      <c r="I197" s="115"/>
      <c r="J197" s="114">
        <f t="shared" si="12"/>
        <v>82</v>
      </c>
      <c r="K197" s="115">
        <f t="shared" si="3"/>
        <v>23491.70222119835</v>
      </c>
      <c r="L197" s="114"/>
      <c r="M197" s="114">
        <f t="shared" si="9"/>
        <v>82</v>
      </c>
      <c r="N197" s="116">
        <f t="shared" si="4"/>
        <v>0.3347916466044072</v>
      </c>
      <c r="O197" s="116">
        <f t="shared" si="5"/>
        <v>0.010817075966944676</v>
      </c>
      <c r="P197" s="116">
        <f t="shared" si="6"/>
        <v>0.04434389140271498</v>
      </c>
      <c r="Q197" s="36"/>
      <c r="R197" s="36"/>
      <c r="S197" s="36"/>
      <c r="T197" s="36"/>
      <c r="U197" s="36"/>
      <c r="V197" s="36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</row>
    <row r="198" spans="2:56" ht="15">
      <c r="B198" s="37"/>
      <c r="C198" s="114">
        <f t="shared" si="10"/>
        <v>83</v>
      </c>
      <c r="D198" s="115">
        <f t="shared" si="0"/>
        <v>43839.765135890484</v>
      </c>
      <c r="E198" s="115">
        <f t="shared" si="1"/>
        <v>4059.7597981336003</v>
      </c>
      <c r="F198" s="114"/>
      <c r="G198" s="114">
        <f t="shared" si="11"/>
        <v>83</v>
      </c>
      <c r="H198" s="115">
        <f t="shared" si="2"/>
        <v>0</v>
      </c>
      <c r="I198" s="115"/>
      <c r="J198" s="114">
        <f t="shared" si="12"/>
        <v>83</v>
      </c>
      <c r="K198" s="115">
        <f t="shared" si="3"/>
        <v>16663.174683797766</v>
      </c>
      <c r="L198" s="114"/>
      <c r="M198" s="114">
        <f t="shared" si="9"/>
        <v>83</v>
      </c>
      <c r="N198" s="116">
        <f t="shared" si="4"/>
        <v>0.33646560483742916</v>
      </c>
      <c r="O198" s="116">
        <f t="shared" si="5"/>
        <v>0.13015215212668296</v>
      </c>
      <c r="P198" s="116">
        <f t="shared" si="6"/>
        <v>0.044194107452339634</v>
      </c>
      <c r="Q198" s="36"/>
      <c r="R198" s="36"/>
      <c r="S198" s="36"/>
      <c r="T198" s="36"/>
      <c r="U198" s="36"/>
      <c r="V198" s="36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</row>
    <row r="199" spans="2:56" ht="15">
      <c r="B199" s="37"/>
      <c r="C199" s="114">
        <f t="shared" si="10"/>
        <v>84</v>
      </c>
      <c r="D199" s="115">
        <f t="shared" si="0"/>
        <v>29999.110810975173</v>
      </c>
      <c r="E199" s="115">
        <f t="shared" si="1"/>
        <v>-15664.849224926182</v>
      </c>
      <c r="F199" s="114"/>
      <c r="G199" s="114">
        <f t="shared" si="11"/>
        <v>84</v>
      </c>
      <c r="H199" s="115">
        <f t="shared" si="2"/>
        <v>0</v>
      </c>
      <c r="I199" s="115"/>
      <c r="J199" s="114">
        <f t="shared" si="12"/>
        <v>84</v>
      </c>
      <c r="K199" s="115">
        <f t="shared" si="3"/>
        <v>11334.340948220208</v>
      </c>
      <c r="L199" s="114"/>
      <c r="M199" s="114">
        <f t="shared" si="9"/>
        <v>84</v>
      </c>
      <c r="N199" s="116">
        <f t="shared" si="4"/>
        <v>0.3381479328616163</v>
      </c>
      <c r="O199" s="116">
        <f t="shared" si="5"/>
        <v>0.21310573860483206</v>
      </c>
      <c r="P199" s="116">
        <f t="shared" si="6"/>
        <v>0.046473029045643106</v>
      </c>
      <c r="Q199" s="36"/>
      <c r="R199" s="36"/>
      <c r="S199" s="36"/>
      <c r="T199" s="36"/>
      <c r="U199" s="36"/>
      <c r="V199" s="36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</row>
    <row r="200" spans="2:56" ht="15">
      <c r="B200" s="37"/>
      <c r="C200" s="114">
        <f t="shared" si="10"/>
        <v>85</v>
      </c>
      <c r="D200" s="115">
        <f t="shared" si="0"/>
        <v>15950.215187913149</v>
      </c>
      <c r="E200" s="115">
        <f t="shared" si="1"/>
        <v>-39715.019599310144</v>
      </c>
      <c r="F200" s="114"/>
      <c r="G200" s="114">
        <f t="shared" si="11"/>
        <v>85</v>
      </c>
      <c r="H200" s="115">
        <f t="shared" si="2"/>
        <v>0</v>
      </c>
      <c r="I200" s="115"/>
      <c r="J200" s="114">
        <f t="shared" si="12"/>
        <v>85</v>
      </c>
      <c r="K200" s="115">
        <f t="shared" si="3"/>
        <v>14608.475214671113</v>
      </c>
      <c r="L200" s="114"/>
      <c r="M200" s="114">
        <f t="shared" si="9"/>
        <v>85</v>
      </c>
      <c r="N200" s="116">
        <f t="shared" si="4"/>
        <v>0.3398386725259243</v>
      </c>
      <c r="O200" s="116">
        <f t="shared" si="5"/>
        <v>0.01159971460295798</v>
      </c>
      <c r="P200" s="116">
        <f t="shared" si="6"/>
        <v>0.06106264869151481</v>
      </c>
      <c r="Q200" s="36"/>
      <c r="R200" s="36"/>
      <c r="S200" s="36"/>
      <c r="T200" s="36"/>
      <c r="U200" s="36"/>
      <c r="V200" s="36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</row>
    <row r="201" spans="2:56" ht="15">
      <c r="B201" s="37"/>
      <c r="C201" s="114">
        <f t="shared" si="10"/>
        <v>86</v>
      </c>
      <c r="D201" s="115">
        <f t="shared" si="0"/>
        <v>-4483.9818097848765</v>
      </c>
      <c r="E201" s="115">
        <f t="shared" si="1"/>
        <v>-60728.283853700064</v>
      </c>
      <c r="F201" s="114"/>
      <c r="G201" s="114">
        <f t="shared" si="11"/>
        <v>86</v>
      </c>
      <c r="H201" s="115">
        <f t="shared" si="2"/>
        <v>0</v>
      </c>
      <c r="I201" s="115"/>
      <c r="J201" s="114">
        <f t="shared" si="12"/>
        <v>86</v>
      </c>
      <c r="K201" s="115">
        <f t="shared" si="3"/>
        <v>25621.45590720213</v>
      </c>
      <c r="L201" s="114"/>
      <c r="M201" s="114">
        <f t="shared" si="9"/>
        <v>86</v>
      </c>
      <c r="N201" s="116">
        <f t="shared" si="4"/>
        <v>0.3415378658885539</v>
      </c>
      <c r="O201" s="116">
        <f t="shared" si="5"/>
        <v>0.2062224301078372</v>
      </c>
      <c r="P201" s="116">
        <f t="shared" si="6"/>
        <v>0.030642750373692032</v>
      </c>
      <c r="Q201" s="36"/>
      <c r="R201" s="36"/>
      <c r="S201" s="36"/>
      <c r="T201" s="36"/>
      <c r="U201" s="36"/>
      <c r="V201" s="36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</row>
    <row r="202" spans="2:56" ht="15">
      <c r="B202" s="37"/>
      <c r="C202" s="114">
        <f t="shared" si="10"/>
        <v>87</v>
      </c>
      <c r="D202" s="115">
        <f t="shared" si="0"/>
        <v>-27424.158322289975</v>
      </c>
      <c r="E202" s="115">
        <f t="shared" si="1"/>
        <v>-93229.70336379405</v>
      </c>
      <c r="F202" s="114"/>
      <c r="G202" s="114">
        <f t="shared" si="11"/>
        <v>87</v>
      </c>
      <c r="H202" s="115">
        <f t="shared" si="2"/>
        <v>0</v>
      </c>
      <c r="I202" s="115"/>
      <c r="J202" s="114">
        <f t="shared" si="12"/>
        <v>87</v>
      </c>
      <c r="K202" s="115">
        <f t="shared" si="3"/>
        <v>31844.670138863134</v>
      </c>
      <c r="L202" s="114"/>
      <c r="M202" s="114">
        <f t="shared" si="9"/>
        <v>87</v>
      </c>
      <c r="N202" s="116">
        <f t="shared" si="4"/>
        <v>0.34324555521799666</v>
      </c>
      <c r="O202" s="116">
        <f t="shared" si="5"/>
        <v>0.06914639843928778</v>
      </c>
      <c r="P202" s="116">
        <f t="shared" si="6"/>
        <v>0.0290065264684554</v>
      </c>
      <c r="Q202" s="36"/>
      <c r="R202" s="36"/>
      <c r="S202" s="36"/>
      <c r="T202" s="36"/>
      <c r="U202" s="36"/>
      <c r="V202" s="36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</row>
    <row r="203" spans="2:56" ht="15">
      <c r="B203" s="37"/>
      <c r="C203" s="114">
        <f t="shared" si="10"/>
        <v>88</v>
      </c>
      <c r="D203" s="115">
        <f t="shared" si="0"/>
        <v>-51988.13146415807</v>
      </c>
      <c r="E203" s="115">
        <f t="shared" si="1"/>
        <v>-120853.1725367004</v>
      </c>
      <c r="F203" s="114"/>
      <c r="G203" s="114">
        <f t="shared" si="11"/>
        <v>88</v>
      </c>
      <c r="H203" s="115">
        <f t="shared" si="2"/>
        <v>0</v>
      </c>
      <c r="I203" s="115"/>
      <c r="J203" s="114">
        <f t="shared" si="12"/>
        <v>88</v>
      </c>
      <c r="K203" s="115">
        <f t="shared" si="3"/>
        <v>32163.91893076975</v>
      </c>
      <c r="L203" s="114"/>
      <c r="M203" s="114">
        <f t="shared" si="9"/>
        <v>88</v>
      </c>
      <c r="N203" s="116">
        <f t="shared" si="4"/>
        <v>0.34496178299408653</v>
      </c>
      <c r="O203" s="116">
        <f t="shared" si="5"/>
        <v>0.09707257926734182</v>
      </c>
      <c r="P203" s="116">
        <f t="shared" si="6"/>
        <v>0.02748414376321357</v>
      </c>
      <c r="Q203" s="36"/>
      <c r="R203" s="36"/>
      <c r="S203" s="36"/>
      <c r="T203" s="36"/>
      <c r="U203" s="36"/>
      <c r="V203" s="36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</row>
    <row r="204" spans="2:56" ht="15">
      <c r="B204" s="37"/>
      <c r="C204" s="114">
        <f t="shared" si="10"/>
        <v>89</v>
      </c>
      <c r="D204" s="115">
        <f t="shared" si="0"/>
        <v>-80698.56423838515</v>
      </c>
      <c r="E204" s="115">
        <f t="shared" si="1"/>
        <v>-152994.77223144018</v>
      </c>
      <c r="F204" s="114"/>
      <c r="G204" s="114">
        <f t="shared" si="11"/>
        <v>89</v>
      </c>
      <c r="H204" s="115">
        <f t="shared" si="2"/>
        <v>0</v>
      </c>
      <c r="I204" s="115"/>
      <c r="J204" s="114">
        <f t="shared" si="12"/>
        <v>89</v>
      </c>
      <c r="K204" s="115">
        <f t="shared" si="3"/>
        <v>24109.98718452073</v>
      </c>
      <c r="L204" s="114"/>
      <c r="M204" s="114">
        <f t="shared" si="9"/>
        <v>89</v>
      </c>
      <c r="N204" s="116">
        <f t="shared" si="4"/>
        <v>0.34668659190905693</v>
      </c>
      <c r="O204" s="116">
        <f t="shared" si="5"/>
        <v>-0.013750853713357344</v>
      </c>
      <c r="P204" s="116">
        <f t="shared" si="6"/>
        <v>0.02674897119341548</v>
      </c>
      <c r="Q204" s="36"/>
      <c r="R204" s="36"/>
      <c r="S204" s="36"/>
      <c r="T204" s="36"/>
      <c r="U204" s="36"/>
      <c r="V204" s="36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</row>
    <row r="205" spans="2:56" ht="15">
      <c r="B205" s="37"/>
      <c r="C205" s="114">
        <f t="shared" si="10"/>
        <v>90</v>
      </c>
      <c r="D205" s="115">
        <f t="shared" si="0"/>
        <v>-103335.19259712948</v>
      </c>
      <c r="E205" s="115">
        <f t="shared" si="1"/>
        <v>-175207.50534961454</v>
      </c>
      <c r="F205" s="114"/>
      <c r="G205" s="114">
        <f t="shared" si="11"/>
        <v>90</v>
      </c>
      <c r="H205" s="115">
        <f t="shared" si="2"/>
        <v>0</v>
      </c>
      <c r="I205" s="115"/>
      <c r="J205" s="114">
        <f t="shared" si="12"/>
        <v>90</v>
      </c>
      <c r="K205" s="115">
        <f t="shared" si="3"/>
        <v>16389.18037258881</v>
      </c>
      <c r="L205" s="114"/>
      <c r="M205" s="114">
        <f t="shared" si="9"/>
        <v>90</v>
      </c>
      <c r="N205" s="116">
        <f t="shared" si="4"/>
        <v>0.3484200248686022</v>
      </c>
      <c r="O205" s="116">
        <f t="shared" si="5"/>
        <v>0.26645935617323263</v>
      </c>
      <c r="P205" s="116">
        <f t="shared" si="6"/>
        <v>0.025384101536406224</v>
      </c>
      <c r="Q205" s="36"/>
      <c r="R205" s="36"/>
      <c r="S205" s="36"/>
      <c r="T205" s="36"/>
      <c r="U205" s="36"/>
      <c r="V205" s="36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</row>
    <row r="206" spans="2:56" ht="15">
      <c r="B206" s="37"/>
      <c r="C206" s="114">
        <f t="shared" si="10"/>
        <v>91</v>
      </c>
      <c r="D206" s="115">
        <f t="shared" si="0"/>
        <v>-156742.77968448916</v>
      </c>
      <c r="E206" s="115">
        <f t="shared" si="1"/>
        <v>-233871.32655218788</v>
      </c>
      <c r="F206" s="114"/>
      <c r="G206" s="114">
        <f t="shared" si="11"/>
        <v>91</v>
      </c>
      <c r="H206" s="115">
        <f t="shared" si="2"/>
        <v>0</v>
      </c>
      <c r="I206" s="115"/>
      <c r="J206" s="114">
        <f t="shared" si="12"/>
        <v>91</v>
      </c>
      <c r="K206" s="115">
        <f t="shared" si="3"/>
        <v>15965.896930149767</v>
      </c>
      <c r="L206" s="114"/>
      <c r="M206" s="114">
        <f t="shared" si="9"/>
        <v>91</v>
      </c>
      <c r="N206" s="116">
        <f t="shared" si="4"/>
        <v>0.3501621249929451</v>
      </c>
      <c r="O206" s="116">
        <f t="shared" si="5"/>
        <v>0.12189226456850662</v>
      </c>
      <c r="P206" s="116">
        <f t="shared" si="6"/>
        <v>0.033224755700325695</v>
      </c>
      <c r="Q206" s="36"/>
      <c r="R206" s="36"/>
      <c r="S206" s="36"/>
      <c r="T206" s="36"/>
      <c r="U206" s="36"/>
      <c r="V206" s="36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</row>
    <row r="207" spans="2:56" ht="15">
      <c r="B207" s="37"/>
      <c r="C207" s="114">
        <f t="shared" si="10"/>
        <v>92</v>
      </c>
      <c r="D207" s="115">
        <f aca="true" t="shared" si="13" ref="D207:D238">T284*IF(C207&gt;105,0,1)</f>
        <v>-201099.70452285</v>
      </c>
      <c r="E207" s="115">
        <f aca="true" t="shared" si="14" ref="E207:E238">AC284*IF(C207&gt;105,0,1)</f>
        <v>-279405.3476686175</v>
      </c>
      <c r="F207" s="114"/>
      <c r="G207" s="114">
        <f t="shared" si="11"/>
        <v>92</v>
      </c>
      <c r="H207" s="115">
        <f aca="true" t="shared" si="15" ref="H207:H238">IF(G207&gt;105,0,IF(Y284+Z284&lt;0,0,Y284+Z284))</f>
        <v>0</v>
      </c>
      <c r="I207" s="115"/>
      <c r="J207" s="114">
        <f t="shared" si="12"/>
        <v>92</v>
      </c>
      <c r="K207" s="115">
        <f aca="true" t="shared" si="16" ref="K207:K238">IF(J207&gt;105,0,IF(Q284&lt;0,0,Q284))</f>
        <v>27520.412147044914</v>
      </c>
      <c r="L207" s="114"/>
      <c r="M207" s="114">
        <f t="shared" si="9"/>
        <v>92</v>
      </c>
      <c r="N207" s="116">
        <f aca="true" t="shared" si="17" ref="N207:N238">I284</f>
        <v>0.35191293561790976</v>
      </c>
      <c r="O207" s="116">
        <f aca="true" t="shared" si="18" ref="O207:O238">J284</f>
        <v>0.20039552052260062</v>
      </c>
      <c r="P207" s="116">
        <f aca="true" t="shared" si="19" ref="P207:P238">K284</f>
        <v>0.017023959646910575</v>
      </c>
      <c r="Q207" s="36"/>
      <c r="R207" s="36"/>
      <c r="S207" s="36"/>
      <c r="T207" s="36"/>
      <c r="U207" s="36"/>
      <c r="V207" s="36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</row>
    <row r="208" spans="2:56" ht="15">
      <c r="B208" s="37"/>
      <c r="C208" s="114">
        <f t="shared" si="10"/>
        <v>93</v>
      </c>
      <c r="D208" s="115">
        <f t="shared" si="13"/>
        <v>-267214.5180118822</v>
      </c>
      <c r="E208" s="115">
        <f t="shared" si="14"/>
        <v>-345054.52007552143</v>
      </c>
      <c r="F208" s="114"/>
      <c r="G208" s="114">
        <f t="shared" si="11"/>
        <v>93</v>
      </c>
      <c r="H208" s="115">
        <f t="shared" si="15"/>
        <v>0</v>
      </c>
      <c r="I208" s="115"/>
      <c r="J208" s="114">
        <f t="shared" si="12"/>
        <v>93</v>
      </c>
      <c r="K208" s="115">
        <f t="shared" si="16"/>
        <v>39187.173376871346</v>
      </c>
      <c r="L208" s="114"/>
      <c r="M208" s="114">
        <f t="shared" si="9"/>
        <v>93</v>
      </c>
      <c r="N208" s="116">
        <f t="shared" si="17"/>
        <v>0.3536725002959992</v>
      </c>
      <c r="O208" s="116">
        <f t="shared" si="18"/>
        <v>0.17637963346868246</v>
      </c>
      <c r="P208" s="116">
        <f t="shared" si="19"/>
        <v>0.016119032858028483</v>
      </c>
      <c r="Q208" s="36"/>
      <c r="R208" s="36"/>
      <c r="S208" s="36"/>
      <c r="T208" s="36"/>
      <c r="U208" s="36"/>
      <c r="V208" s="36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</row>
    <row r="209" spans="2:56" ht="15">
      <c r="B209" s="37"/>
      <c r="C209" s="114">
        <f t="shared" si="10"/>
        <v>94</v>
      </c>
      <c r="D209" s="115">
        <f t="shared" si="13"/>
        <v>-340781.1778435071</v>
      </c>
      <c r="E209" s="115">
        <f t="shared" si="14"/>
        <v>-414105.72860176465</v>
      </c>
      <c r="F209" s="114"/>
      <c r="G209" s="114">
        <f t="shared" si="11"/>
        <v>94</v>
      </c>
      <c r="H209" s="115">
        <f t="shared" si="15"/>
        <v>0</v>
      </c>
      <c r="I209" s="115"/>
      <c r="J209" s="114">
        <f t="shared" si="12"/>
        <v>94</v>
      </c>
      <c r="K209" s="115">
        <f t="shared" si="16"/>
        <v>42577.54510212671</v>
      </c>
      <c r="L209" s="114"/>
      <c r="M209" s="114">
        <f t="shared" si="9"/>
        <v>94</v>
      </c>
      <c r="N209" s="116">
        <f t="shared" si="17"/>
        <v>0.3554408627974792</v>
      </c>
      <c r="O209" s="116">
        <f t="shared" si="18"/>
        <v>0.08286306347650682</v>
      </c>
      <c r="P209" s="116">
        <f t="shared" si="19"/>
        <v>0.02684563758389265</v>
      </c>
      <c r="Q209" s="36"/>
      <c r="R209" s="36"/>
      <c r="S209" s="36"/>
      <c r="T209" s="36"/>
      <c r="U209" s="36"/>
      <c r="V209" s="36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</row>
    <row r="210" spans="2:56" ht="15">
      <c r="B210" s="37"/>
      <c r="C210" s="114">
        <f t="shared" si="10"/>
        <v>95</v>
      </c>
      <c r="D210" s="115">
        <f t="shared" si="13"/>
        <v>-396155.32061246625</v>
      </c>
      <c r="E210" s="115">
        <f t="shared" si="14"/>
        <v>-464698.89499685133</v>
      </c>
      <c r="F210" s="114"/>
      <c r="G210" s="114">
        <f t="shared" si="11"/>
        <v>95</v>
      </c>
      <c r="H210" s="115">
        <f t="shared" si="15"/>
        <v>0</v>
      </c>
      <c r="I210" s="115"/>
      <c r="J210" s="114">
        <f t="shared" si="12"/>
        <v>95</v>
      </c>
      <c r="K210" s="115">
        <f t="shared" si="16"/>
        <v>33879.73497310005</v>
      </c>
      <c r="L210" s="114"/>
      <c r="M210" s="114">
        <f t="shared" si="9"/>
        <v>95</v>
      </c>
      <c r="N210" s="116">
        <f t="shared" si="17"/>
        <v>0.3572180671114666</v>
      </c>
      <c r="O210" s="116">
        <f t="shared" si="18"/>
        <v>-0.007766484904255842</v>
      </c>
      <c r="P210" s="116">
        <f t="shared" si="19"/>
        <v>0.03386809269162203</v>
      </c>
      <c r="Q210" s="36"/>
      <c r="R210" s="36"/>
      <c r="S210" s="36"/>
      <c r="T210" s="36"/>
      <c r="U210" s="36"/>
      <c r="V210" s="36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</row>
    <row r="211" spans="2:56" ht="15">
      <c r="B211" s="37"/>
      <c r="C211" s="114">
        <f t="shared" si="10"/>
        <v>96</v>
      </c>
      <c r="D211" s="115">
        <f t="shared" si="13"/>
        <v>-420527.5459552014</v>
      </c>
      <c r="E211" s="115">
        <f t="shared" si="14"/>
        <v>-489602.2850191653</v>
      </c>
      <c r="F211" s="114"/>
      <c r="G211" s="114">
        <f t="shared" si="11"/>
        <v>96</v>
      </c>
      <c r="H211" s="115">
        <f t="shared" si="15"/>
        <v>0</v>
      </c>
      <c r="I211" s="115"/>
      <c r="J211" s="114">
        <f t="shared" si="12"/>
        <v>96</v>
      </c>
      <c r="K211" s="115">
        <f t="shared" si="16"/>
        <v>19481.485987094835</v>
      </c>
      <c r="L211" s="114"/>
      <c r="M211" s="114">
        <f t="shared" si="9"/>
        <v>96</v>
      </c>
      <c r="N211" s="116">
        <f t="shared" si="17"/>
        <v>0.3590041574470238</v>
      </c>
      <c r="O211" s="116">
        <f t="shared" si="18"/>
        <v>-0.02525528655985316</v>
      </c>
      <c r="P211" s="116">
        <f t="shared" si="19"/>
        <v>0.015517241379310279</v>
      </c>
      <c r="Q211" s="36"/>
      <c r="R211" s="36"/>
      <c r="S211" s="36"/>
      <c r="T211" s="36"/>
      <c r="U211" s="36"/>
      <c r="V211" s="36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</row>
    <row r="212" spans="2:56" ht="15">
      <c r="B212" s="37"/>
      <c r="C212" s="114">
        <f t="shared" si="10"/>
        <v>97</v>
      </c>
      <c r="D212" s="115">
        <f t="shared" si="13"/>
        <v>-438148.92202632193</v>
      </c>
      <c r="E212" s="115">
        <f t="shared" si="14"/>
        <v>-509427.00221404154</v>
      </c>
      <c r="F212" s="114"/>
      <c r="G212" s="114">
        <f t="shared" si="11"/>
        <v>97</v>
      </c>
      <c r="H212" s="115">
        <f t="shared" si="15"/>
        <v>0</v>
      </c>
      <c r="I212" s="115"/>
      <c r="J212" s="114">
        <f t="shared" si="12"/>
        <v>97</v>
      </c>
      <c r="K212" s="115">
        <f t="shared" si="16"/>
        <v>13030.971232290383</v>
      </c>
      <c r="L212" s="114"/>
      <c r="M212" s="114">
        <f t="shared" si="9"/>
        <v>97</v>
      </c>
      <c r="N212" s="116">
        <f t="shared" si="17"/>
        <v>0.36079917823425883</v>
      </c>
      <c r="O212" s="116">
        <f t="shared" si="18"/>
        <v>-0.07916990650512978</v>
      </c>
      <c r="P212" s="116">
        <f t="shared" si="19"/>
        <v>0.023769100169779386</v>
      </c>
      <c r="Q212" s="36"/>
      <c r="R212" s="36"/>
      <c r="S212" s="36"/>
      <c r="T212" s="36"/>
      <c r="U212" s="36"/>
      <c r="V212" s="36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</row>
    <row r="213" spans="2:56" ht="15">
      <c r="B213" s="37"/>
      <c r="C213" s="114">
        <f t="shared" si="10"/>
        <v>98</v>
      </c>
      <c r="D213" s="115">
        <f t="shared" si="13"/>
        <v>-432047.5057106117</v>
      </c>
      <c r="E213" s="115">
        <f t="shared" si="14"/>
        <v>-510615.1585704436</v>
      </c>
      <c r="F213" s="114"/>
      <c r="G213" s="114">
        <f t="shared" si="11"/>
        <v>98</v>
      </c>
      <c r="H213" s="115">
        <f t="shared" si="15"/>
        <v>0</v>
      </c>
      <c r="I213" s="115"/>
      <c r="J213" s="114">
        <f t="shared" si="12"/>
        <v>98</v>
      </c>
      <c r="K213" s="115">
        <f t="shared" si="16"/>
        <v>21708.309338709816</v>
      </c>
      <c r="L213" s="114"/>
      <c r="M213" s="114">
        <f t="shared" si="9"/>
        <v>98</v>
      </c>
      <c r="N213" s="116">
        <f t="shared" si="17"/>
        <v>0.36260317412543014</v>
      </c>
      <c r="O213" s="116">
        <f t="shared" si="18"/>
        <v>0.16636718577917603</v>
      </c>
      <c r="P213" s="116">
        <f t="shared" si="19"/>
        <v>0.01879491431730241</v>
      </c>
      <c r="Q213" s="36"/>
      <c r="R213" s="36"/>
      <c r="S213" s="36"/>
      <c r="T213" s="36"/>
      <c r="U213" s="36"/>
      <c r="V213" s="36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</row>
    <row r="214" spans="2:56" ht="15">
      <c r="B214" s="37"/>
      <c r="C214" s="114">
        <f t="shared" si="10"/>
        <v>99</v>
      </c>
      <c r="D214" s="115">
        <f t="shared" si="13"/>
        <v>-533543.4367557325</v>
      </c>
      <c r="E214" s="115">
        <f t="shared" si="14"/>
        <v>-597890.0741060808</v>
      </c>
      <c r="F214" s="114"/>
      <c r="G214" s="114">
        <f t="shared" si="11"/>
        <v>99</v>
      </c>
      <c r="H214" s="115">
        <f t="shared" si="15"/>
        <v>0</v>
      </c>
      <c r="I214" s="115"/>
      <c r="J214" s="114">
        <f t="shared" si="12"/>
        <v>99</v>
      </c>
      <c r="K214" s="115">
        <f t="shared" si="16"/>
        <v>36061.31654919213</v>
      </c>
      <c r="L214" s="114"/>
      <c r="M214" s="114">
        <f t="shared" si="9"/>
        <v>99</v>
      </c>
      <c r="N214" s="116">
        <f t="shared" si="17"/>
        <v>0.36441618999605724</v>
      </c>
      <c r="O214" s="116">
        <f t="shared" si="18"/>
        <v>0.06688169464235967</v>
      </c>
      <c r="P214" s="116">
        <f t="shared" si="19"/>
        <v>0.032555615843733045</v>
      </c>
      <c r="Q214" s="36"/>
      <c r="R214" s="36"/>
      <c r="S214" s="36"/>
      <c r="T214" s="36"/>
      <c r="U214" s="36"/>
      <c r="V214" s="36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</row>
    <row r="215" spans="2:56" ht="15">
      <c r="B215" s="37"/>
      <c r="C215" s="114">
        <f t="shared" si="10"/>
        <v>100</v>
      </c>
      <c r="D215" s="115">
        <f t="shared" si="13"/>
        <v>-599259.5641659192</v>
      </c>
      <c r="E215" s="115">
        <f t="shared" si="14"/>
        <v>-654937.4714142197</v>
      </c>
      <c r="F215" s="114"/>
      <c r="G215" s="114">
        <f t="shared" si="11"/>
        <v>100</v>
      </c>
      <c r="H215" s="115">
        <f t="shared" si="15"/>
        <v>0</v>
      </c>
      <c r="I215" s="115"/>
      <c r="J215" s="114">
        <f t="shared" si="12"/>
        <v>100</v>
      </c>
      <c r="K215" s="115">
        <f t="shared" si="16"/>
        <v>48164.05519104492</v>
      </c>
      <c r="L215" s="114"/>
      <c r="M215" s="114">
        <f t="shared" si="9"/>
        <v>100</v>
      </c>
      <c r="N215" s="116">
        <f t="shared" si="17"/>
        <v>0.3662382709460375</v>
      </c>
      <c r="O215" s="116">
        <f t="shared" si="18"/>
        <v>0.04391409456663173</v>
      </c>
      <c r="P215" s="116">
        <f t="shared" si="19"/>
        <v>0.03415659485023647</v>
      </c>
      <c r="Q215" s="36"/>
      <c r="R215" s="36"/>
      <c r="S215" s="36"/>
      <c r="T215" s="36"/>
      <c r="U215" s="36"/>
      <c r="V215" s="36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</row>
    <row r="216" spans="2:56" ht="15">
      <c r="B216" s="37"/>
      <c r="C216" s="114">
        <f t="shared" si="10"/>
        <v>101</v>
      </c>
      <c r="D216" s="115">
        <f t="shared" si="13"/>
        <v>-656792.350114992</v>
      </c>
      <c r="E216" s="115">
        <f t="shared" si="14"/>
        <v>-705269.1169262902</v>
      </c>
      <c r="F216" s="114"/>
      <c r="G216" s="114">
        <f t="shared" si="11"/>
        <v>101</v>
      </c>
      <c r="H216" s="115">
        <f t="shared" si="15"/>
        <v>0</v>
      </c>
      <c r="I216" s="115"/>
      <c r="J216" s="114">
        <f t="shared" si="12"/>
        <v>101</v>
      </c>
      <c r="K216" s="115">
        <f t="shared" si="16"/>
        <v>44149.949487610385</v>
      </c>
      <c r="L216" s="114"/>
      <c r="M216" s="114">
        <f t="shared" si="9"/>
        <v>101</v>
      </c>
      <c r="N216" s="116">
        <f t="shared" si="17"/>
        <v>0.3680694623007676</v>
      </c>
      <c r="O216" s="116">
        <f t="shared" si="18"/>
        <v>0.08549718317042199</v>
      </c>
      <c r="P216" s="116">
        <f t="shared" si="19"/>
        <v>0.02540650406504065</v>
      </c>
      <c r="Q216" s="36"/>
      <c r="R216" s="36"/>
      <c r="S216" s="36"/>
      <c r="T216" s="36"/>
      <c r="U216" s="36"/>
      <c r="V216" s="36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</row>
    <row r="217" spans="2:56" ht="15">
      <c r="B217" s="37"/>
      <c r="C217" s="114">
        <f t="shared" si="10"/>
        <v>102</v>
      </c>
      <c r="D217" s="115">
        <f t="shared" si="13"/>
        <v>-745795.4033210328</v>
      </c>
      <c r="E217" s="115">
        <f t="shared" si="14"/>
        <v>-777684.6470271008</v>
      </c>
      <c r="F217" s="114"/>
      <c r="G217" s="114">
        <f t="shared" si="11"/>
        <v>102</v>
      </c>
      <c r="H217" s="115">
        <f t="shared" si="15"/>
        <v>0</v>
      </c>
      <c r="I217" s="115"/>
      <c r="J217" s="114">
        <f t="shared" si="12"/>
        <v>102</v>
      </c>
      <c r="K217" s="115">
        <f t="shared" si="16"/>
        <v>28084.003694622526</v>
      </c>
      <c r="L217" s="114"/>
      <c r="M217" s="114">
        <f t="shared" si="9"/>
        <v>102</v>
      </c>
      <c r="N217" s="116">
        <f t="shared" si="17"/>
        <v>0.3699098096122714</v>
      </c>
      <c r="O217" s="116">
        <f t="shared" si="18"/>
        <v>0.03596154210381997</v>
      </c>
      <c r="P217" s="116">
        <f t="shared" si="19"/>
        <v>0.041</v>
      </c>
      <c r="Q217" s="36"/>
      <c r="R217" s="36"/>
      <c r="S217" s="36"/>
      <c r="T217" s="36"/>
      <c r="U217" s="36"/>
      <c r="V217" s="36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</row>
    <row r="218" spans="2:56" ht="15">
      <c r="B218" s="37"/>
      <c r="C218" s="114">
        <f t="shared" si="10"/>
        <v>103</v>
      </c>
      <c r="D218" s="115">
        <f t="shared" si="13"/>
        <v>-805932.3165562398</v>
      </c>
      <c r="E218" s="115">
        <f t="shared" si="14"/>
        <v>-829165.8561104564</v>
      </c>
      <c r="F218" s="114"/>
      <c r="G218" s="114">
        <f t="shared" si="11"/>
        <v>103</v>
      </c>
      <c r="H218" s="115">
        <f t="shared" si="15"/>
        <v>0</v>
      </c>
      <c r="I218" s="115"/>
      <c r="J218" s="114">
        <f t="shared" si="12"/>
        <v>103</v>
      </c>
      <c r="K218" s="115">
        <f t="shared" si="16"/>
        <v>17296.966599223808</v>
      </c>
      <c r="L218" s="114"/>
      <c r="M218" s="114">
        <f t="shared" si="9"/>
        <v>103</v>
      </c>
      <c r="N218" s="116">
        <f t="shared" si="17"/>
        <v>0.3717593586603327</v>
      </c>
      <c r="O218" s="116">
        <f t="shared" si="18"/>
        <v>-0.144946586652289</v>
      </c>
      <c r="P218" s="116">
        <f t="shared" si="19"/>
        <v>0.001</v>
      </c>
      <c r="Q218" s="36"/>
      <c r="R218" s="36"/>
      <c r="S218" s="36"/>
      <c r="T218" s="36"/>
      <c r="U218" s="36"/>
      <c r="V218" s="36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</row>
    <row r="219" spans="2:56" ht="15">
      <c r="B219" s="37"/>
      <c r="C219" s="114">
        <f t="shared" si="10"/>
        <v>104</v>
      </c>
      <c r="D219" s="115">
        <f t="shared" si="13"/>
        <v>-722645.0000602686</v>
      </c>
      <c r="E219" s="115">
        <f t="shared" si="14"/>
        <v>-783600.5859330967</v>
      </c>
      <c r="F219" s="114"/>
      <c r="G219" s="114">
        <f t="shared" si="11"/>
        <v>104</v>
      </c>
      <c r="H219" s="115">
        <f t="shared" si="15"/>
        <v>0</v>
      </c>
      <c r="I219" s="115"/>
      <c r="J219" s="114">
        <f t="shared" si="12"/>
        <v>104</v>
      </c>
      <c r="K219" s="115">
        <f t="shared" si="16"/>
        <v>22646.976894415908</v>
      </c>
      <c r="L219" s="114"/>
      <c r="M219" s="114">
        <f t="shared" si="9"/>
        <v>104</v>
      </c>
      <c r="N219" s="116">
        <f t="shared" si="17"/>
        <v>0.3736181554536343</v>
      </c>
      <c r="O219" s="116">
        <f t="shared" si="18"/>
        <v>0.05</v>
      </c>
      <c r="P219" s="116">
        <f t="shared" si="19"/>
        <v>0.045</v>
      </c>
      <c r="Q219" s="36"/>
      <c r="R219" s="36"/>
      <c r="S219" s="36"/>
      <c r="T219" s="36"/>
      <c r="U219" s="36"/>
      <c r="V219" s="36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</row>
    <row r="220" spans="2:56" ht="15">
      <c r="B220" s="37"/>
      <c r="C220" s="114">
        <f t="shared" si="10"/>
        <v>105</v>
      </c>
      <c r="D220" s="115">
        <f t="shared" si="13"/>
        <v>-793211.9729435256</v>
      </c>
      <c r="E220" s="115">
        <f t="shared" si="14"/>
        <v>-843720.1959401681</v>
      </c>
      <c r="F220" s="114"/>
      <c r="G220" s="114">
        <f t="shared" si="11"/>
        <v>105</v>
      </c>
      <c r="H220" s="115">
        <f t="shared" si="15"/>
        <v>0</v>
      </c>
      <c r="I220" s="115"/>
      <c r="J220" s="114">
        <f t="shared" si="12"/>
        <v>105</v>
      </c>
      <c r="K220" s="115">
        <f t="shared" si="16"/>
        <v>36850.79829197902</v>
      </c>
      <c r="L220" s="114"/>
      <c r="M220" s="114">
        <f t="shared" si="9"/>
        <v>105</v>
      </c>
      <c r="N220" s="116">
        <f t="shared" si="17"/>
        <v>0.3754862462309024</v>
      </c>
      <c r="O220" s="116">
        <f t="shared" si="18"/>
        <v>0.05</v>
      </c>
      <c r="P220" s="116">
        <f t="shared" si="19"/>
        <v>0.045</v>
      </c>
      <c r="Q220" s="36"/>
      <c r="R220" s="36"/>
      <c r="S220" s="36"/>
      <c r="T220" s="36"/>
      <c r="U220" s="36"/>
      <c r="V220" s="36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</row>
    <row r="221" spans="2:56" ht="15">
      <c r="B221" s="37"/>
      <c r="C221" s="114">
        <f t="shared" si="10"/>
        <v>106</v>
      </c>
      <c r="D221" s="115">
        <f t="shared" si="13"/>
        <v>0</v>
      </c>
      <c r="E221" s="115">
        <f t="shared" si="14"/>
        <v>0</v>
      </c>
      <c r="F221" s="114"/>
      <c r="G221" s="114">
        <f t="shared" si="11"/>
        <v>106</v>
      </c>
      <c r="H221" s="115">
        <f t="shared" si="15"/>
        <v>0</v>
      </c>
      <c r="I221" s="115"/>
      <c r="J221" s="114">
        <f t="shared" si="12"/>
        <v>106</v>
      </c>
      <c r="K221" s="115">
        <f t="shared" si="16"/>
        <v>0</v>
      </c>
      <c r="L221" s="114"/>
      <c r="M221" s="114">
        <f t="shared" si="9"/>
        <v>106</v>
      </c>
      <c r="N221" s="116">
        <f t="shared" si="17"/>
        <v>0.37736367746205685</v>
      </c>
      <c r="O221" s="116">
        <f t="shared" si="18"/>
        <v>0.05</v>
      </c>
      <c r="P221" s="116">
        <f t="shared" si="19"/>
        <v>0.045</v>
      </c>
      <c r="Q221" s="36"/>
      <c r="R221" s="36"/>
      <c r="S221" s="36"/>
      <c r="T221" s="36"/>
      <c r="U221" s="36"/>
      <c r="V221" s="36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</row>
    <row r="222" spans="2:56" ht="15">
      <c r="B222" s="37"/>
      <c r="C222" s="114">
        <f t="shared" si="10"/>
        <v>107</v>
      </c>
      <c r="D222" s="115">
        <f t="shared" si="13"/>
        <v>0</v>
      </c>
      <c r="E222" s="115">
        <f t="shared" si="14"/>
        <v>0</v>
      </c>
      <c r="F222" s="114"/>
      <c r="G222" s="114">
        <f t="shared" si="11"/>
        <v>107</v>
      </c>
      <c r="H222" s="115">
        <f t="shared" si="15"/>
        <v>0</v>
      </c>
      <c r="I222" s="115"/>
      <c r="J222" s="114">
        <f t="shared" si="12"/>
        <v>107</v>
      </c>
      <c r="K222" s="115">
        <f t="shared" si="16"/>
        <v>0</v>
      </c>
      <c r="L222" s="114"/>
      <c r="M222" s="114">
        <f t="shared" si="9"/>
        <v>107</v>
      </c>
      <c r="N222" s="116">
        <f t="shared" si="17"/>
        <v>0.37925049584936704</v>
      </c>
      <c r="O222" s="116">
        <f t="shared" si="18"/>
        <v>0.05</v>
      </c>
      <c r="P222" s="116">
        <f t="shared" si="19"/>
        <v>0.045</v>
      </c>
      <c r="Q222" s="36"/>
      <c r="R222" s="36"/>
      <c r="S222" s="36"/>
      <c r="T222" s="36"/>
      <c r="U222" s="36"/>
      <c r="V222" s="36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</row>
    <row r="223" spans="2:56" ht="15">
      <c r="B223" s="37"/>
      <c r="C223" s="114">
        <f t="shared" si="10"/>
        <v>108</v>
      </c>
      <c r="D223" s="115">
        <f t="shared" si="13"/>
        <v>0</v>
      </c>
      <c r="E223" s="115">
        <f t="shared" si="14"/>
        <v>0</v>
      </c>
      <c r="F223" s="114"/>
      <c r="G223" s="114">
        <f t="shared" si="11"/>
        <v>108</v>
      </c>
      <c r="H223" s="115">
        <f t="shared" si="15"/>
        <v>0</v>
      </c>
      <c r="I223" s="115"/>
      <c r="J223" s="114">
        <f t="shared" si="12"/>
        <v>108</v>
      </c>
      <c r="K223" s="115">
        <f t="shared" si="16"/>
        <v>0</v>
      </c>
      <c r="L223" s="114"/>
      <c r="M223" s="114">
        <f t="shared" si="9"/>
        <v>108</v>
      </c>
      <c r="N223" s="116">
        <f t="shared" si="17"/>
        <v>0.38114674832861384</v>
      </c>
      <c r="O223" s="116">
        <f t="shared" si="18"/>
        <v>0.05</v>
      </c>
      <c r="P223" s="116">
        <f t="shared" si="19"/>
        <v>0.045</v>
      </c>
      <c r="Q223" s="36"/>
      <c r="R223" s="36"/>
      <c r="S223" s="36"/>
      <c r="T223" s="36"/>
      <c r="U223" s="36"/>
      <c r="V223" s="36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</row>
    <row r="224" spans="2:56" ht="15">
      <c r="B224" s="37"/>
      <c r="C224" s="114">
        <f t="shared" si="10"/>
        <v>109</v>
      </c>
      <c r="D224" s="115">
        <f t="shared" si="13"/>
        <v>0</v>
      </c>
      <c r="E224" s="115">
        <f t="shared" si="14"/>
        <v>0</v>
      </c>
      <c r="F224" s="114"/>
      <c r="G224" s="114">
        <f t="shared" si="11"/>
        <v>109</v>
      </c>
      <c r="H224" s="115">
        <f t="shared" si="15"/>
        <v>0</v>
      </c>
      <c r="I224" s="115"/>
      <c r="J224" s="114">
        <f t="shared" si="12"/>
        <v>109</v>
      </c>
      <c r="K224" s="115">
        <f t="shared" si="16"/>
        <v>0</v>
      </c>
      <c r="L224" s="114"/>
      <c r="M224" s="114">
        <f t="shared" si="9"/>
        <v>109</v>
      </c>
      <c r="N224" s="116">
        <f t="shared" si="17"/>
        <v>0.3830524820702569</v>
      </c>
      <c r="O224" s="116">
        <f t="shared" si="18"/>
        <v>0.05</v>
      </c>
      <c r="P224" s="116">
        <f t="shared" si="19"/>
        <v>0.045</v>
      </c>
      <c r="Q224" s="36"/>
      <c r="R224" s="36"/>
      <c r="S224" s="36"/>
      <c r="T224" s="36"/>
      <c r="U224" s="36"/>
      <c r="V224" s="36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</row>
    <row r="225" spans="2:56" ht="15">
      <c r="B225" s="37"/>
      <c r="C225" s="114">
        <f t="shared" si="10"/>
        <v>110</v>
      </c>
      <c r="D225" s="115">
        <f t="shared" si="13"/>
        <v>0</v>
      </c>
      <c r="E225" s="115">
        <f t="shared" si="14"/>
        <v>0</v>
      </c>
      <c r="F225" s="114"/>
      <c r="G225" s="114">
        <f t="shared" si="11"/>
        <v>110</v>
      </c>
      <c r="H225" s="115">
        <f t="shared" si="15"/>
        <v>0</v>
      </c>
      <c r="I225" s="115"/>
      <c r="J225" s="114">
        <f t="shared" si="12"/>
        <v>110</v>
      </c>
      <c r="K225" s="115">
        <f t="shared" si="16"/>
        <v>0</v>
      </c>
      <c r="L225" s="114"/>
      <c r="M225" s="114">
        <f t="shared" si="9"/>
        <v>110</v>
      </c>
      <c r="N225" s="116">
        <f t="shared" si="17"/>
        <v>0.38496774448060805</v>
      </c>
      <c r="O225" s="116">
        <f t="shared" si="18"/>
        <v>0.05</v>
      </c>
      <c r="P225" s="116">
        <f t="shared" si="19"/>
        <v>0.045</v>
      </c>
      <c r="Q225" s="36"/>
      <c r="R225" s="36"/>
      <c r="S225" s="36"/>
      <c r="T225" s="36"/>
      <c r="U225" s="36"/>
      <c r="V225" s="36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</row>
    <row r="226" spans="2:56" ht="15">
      <c r="B226" s="37"/>
      <c r="C226" s="114">
        <f t="shared" si="10"/>
        <v>111</v>
      </c>
      <c r="D226" s="115">
        <f t="shared" si="13"/>
        <v>0</v>
      </c>
      <c r="E226" s="115">
        <f t="shared" si="14"/>
        <v>0</v>
      </c>
      <c r="F226" s="114"/>
      <c r="G226" s="114">
        <f t="shared" si="11"/>
        <v>111</v>
      </c>
      <c r="H226" s="115">
        <f t="shared" si="15"/>
        <v>0</v>
      </c>
      <c r="I226" s="115"/>
      <c r="J226" s="114">
        <f t="shared" si="12"/>
        <v>111</v>
      </c>
      <c r="K226" s="115">
        <f t="shared" si="16"/>
        <v>0</v>
      </c>
      <c r="L226" s="114"/>
      <c r="M226" s="114">
        <f t="shared" si="9"/>
        <v>111</v>
      </c>
      <c r="N226" s="116">
        <f t="shared" si="17"/>
        <v>0.38689258320301106</v>
      </c>
      <c r="O226" s="116">
        <f t="shared" si="18"/>
        <v>0.05</v>
      </c>
      <c r="P226" s="116">
        <f t="shared" si="19"/>
        <v>0.045</v>
      </c>
      <c r="Q226" s="36"/>
      <c r="R226" s="36"/>
      <c r="S226" s="36"/>
      <c r="T226" s="36"/>
      <c r="U226" s="36"/>
      <c r="V226" s="36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</row>
    <row r="227" spans="2:56" ht="15">
      <c r="B227" s="37"/>
      <c r="C227" s="114">
        <f t="shared" si="10"/>
        <v>112</v>
      </c>
      <c r="D227" s="115">
        <f t="shared" si="13"/>
        <v>0</v>
      </c>
      <c r="E227" s="115">
        <f t="shared" si="14"/>
        <v>0</v>
      </c>
      <c r="F227" s="114"/>
      <c r="G227" s="114">
        <f t="shared" si="11"/>
        <v>112</v>
      </c>
      <c r="H227" s="115">
        <f t="shared" si="15"/>
        <v>0</v>
      </c>
      <c r="I227" s="115"/>
      <c r="J227" s="114">
        <f t="shared" si="12"/>
        <v>112</v>
      </c>
      <c r="K227" s="115">
        <f t="shared" si="16"/>
        <v>0</v>
      </c>
      <c r="L227" s="114"/>
      <c r="M227" s="114">
        <f t="shared" si="9"/>
        <v>112</v>
      </c>
      <c r="N227" s="116">
        <f t="shared" si="17"/>
        <v>0.388827046119026</v>
      </c>
      <c r="O227" s="116">
        <f t="shared" si="18"/>
        <v>0.05</v>
      </c>
      <c r="P227" s="116">
        <f t="shared" si="19"/>
        <v>0.045</v>
      </c>
      <c r="Q227" s="36"/>
      <c r="R227" s="36"/>
      <c r="S227" s="36"/>
      <c r="T227" s="36"/>
      <c r="U227" s="36"/>
      <c r="V227" s="36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</row>
    <row r="228" spans="2:56" ht="15">
      <c r="B228" s="37"/>
      <c r="C228" s="114">
        <f t="shared" si="10"/>
        <v>113</v>
      </c>
      <c r="D228" s="115">
        <f t="shared" si="13"/>
        <v>0</v>
      </c>
      <c r="E228" s="115">
        <f t="shared" si="14"/>
        <v>0</v>
      </c>
      <c r="F228" s="114"/>
      <c r="G228" s="114">
        <f t="shared" si="11"/>
        <v>113</v>
      </c>
      <c r="H228" s="115">
        <f t="shared" si="15"/>
        <v>0</v>
      </c>
      <c r="I228" s="115"/>
      <c r="J228" s="114">
        <f t="shared" si="12"/>
        <v>113</v>
      </c>
      <c r="K228" s="115">
        <f t="shared" si="16"/>
        <v>0</v>
      </c>
      <c r="L228" s="114"/>
      <c r="M228" s="114">
        <f t="shared" si="9"/>
        <v>113</v>
      </c>
      <c r="N228" s="116">
        <f t="shared" si="17"/>
        <v>0.39077118134962113</v>
      </c>
      <c r="O228" s="116">
        <f t="shared" si="18"/>
        <v>0.05</v>
      </c>
      <c r="P228" s="116">
        <f t="shared" si="19"/>
        <v>0.045</v>
      </c>
      <c r="Q228" s="36"/>
      <c r="R228" s="36"/>
      <c r="S228" s="36"/>
      <c r="T228" s="36"/>
      <c r="U228" s="36"/>
      <c r="V228" s="36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</row>
    <row r="229" spans="2:56" ht="15">
      <c r="B229" s="37"/>
      <c r="C229" s="114">
        <f t="shared" si="10"/>
        <v>114</v>
      </c>
      <c r="D229" s="115">
        <f t="shared" si="13"/>
        <v>0</v>
      </c>
      <c r="E229" s="115">
        <f t="shared" si="14"/>
        <v>0</v>
      </c>
      <c r="F229" s="114"/>
      <c r="G229" s="114">
        <f t="shared" si="11"/>
        <v>114</v>
      </c>
      <c r="H229" s="115">
        <f t="shared" si="15"/>
        <v>0</v>
      </c>
      <c r="I229" s="115"/>
      <c r="J229" s="114">
        <f t="shared" si="12"/>
        <v>114</v>
      </c>
      <c r="K229" s="115">
        <f t="shared" si="16"/>
        <v>0</v>
      </c>
      <c r="L229" s="114"/>
      <c r="M229" s="114">
        <f t="shared" si="9"/>
        <v>114</v>
      </c>
      <c r="N229" s="116">
        <f t="shared" si="17"/>
        <v>0.39272503725636915</v>
      </c>
      <c r="O229" s="116">
        <f t="shared" si="18"/>
        <v>0.05</v>
      </c>
      <c r="P229" s="116">
        <f t="shared" si="19"/>
        <v>0.045</v>
      </c>
      <c r="Q229" s="36"/>
      <c r="R229" s="36"/>
      <c r="S229" s="36"/>
      <c r="T229" s="36"/>
      <c r="U229" s="36"/>
      <c r="V229" s="36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</row>
    <row r="230" spans="2:56" ht="15">
      <c r="B230" s="37"/>
      <c r="C230" s="114">
        <f t="shared" si="10"/>
        <v>115</v>
      </c>
      <c r="D230" s="115">
        <f t="shared" si="13"/>
        <v>0</v>
      </c>
      <c r="E230" s="115">
        <f t="shared" si="14"/>
        <v>0</v>
      </c>
      <c r="F230" s="114"/>
      <c r="G230" s="114">
        <f t="shared" si="11"/>
        <v>115</v>
      </c>
      <c r="H230" s="115">
        <f t="shared" si="15"/>
        <v>0</v>
      </c>
      <c r="I230" s="115"/>
      <c r="J230" s="114">
        <f t="shared" si="12"/>
        <v>115</v>
      </c>
      <c r="K230" s="115">
        <f t="shared" si="16"/>
        <v>0</v>
      </c>
      <c r="L230" s="114"/>
      <c r="M230" s="114">
        <f t="shared" si="9"/>
        <v>115</v>
      </c>
      <c r="N230" s="116">
        <f t="shared" si="17"/>
        <v>0.39468866244265094</v>
      </c>
      <c r="O230" s="116">
        <f t="shared" si="18"/>
        <v>0.05</v>
      </c>
      <c r="P230" s="116">
        <f t="shared" si="19"/>
        <v>0.045</v>
      </c>
      <c r="Q230" s="36"/>
      <c r="R230" s="36"/>
      <c r="S230" s="36"/>
      <c r="T230" s="36"/>
      <c r="U230" s="36"/>
      <c r="V230" s="36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</row>
    <row r="231" spans="2:56" ht="15">
      <c r="B231" s="37"/>
      <c r="C231" s="114">
        <f t="shared" si="10"/>
        <v>116</v>
      </c>
      <c r="D231" s="115">
        <f t="shared" si="13"/>
        <v>0</v>
      </c>
      <c r="E231" s="115">
        <f t="shared" si="14"/>
        <v>0</v>
      </c>
      <c r="F231" s="114"/>
      <c r="G231" s="114">
        <f t="shared" si="11"/>
        <v>116</v>
      </c>
      <c r="H231" s="115">
        <f t="shared" si="15"/>
        <v>0</v>
      </c>
      <c r="I231" s="115"/>
      <c r="J231" s="114">
        <f t="shared" si="12"/>
        <v>116</v>
      </c>
      <c r="K231" s="115">
        <f t="shared" si="16"/>
        <v>0</v>
      </c>
      <c r="L231" s="114"/>
      <c r="M231" s="114">
        <f t="shared" si="9"/>
        <v>116</v>
      </c>
      <c r="N231" s="116">
        <f t="shared" si="17"/>
        <v>0.3966621057548642</v>
      </c>
      <c r="O231" s="116">
        <f t="shared" si="18"/>
        <v>0.05</v>
      </c>
      <c r="P231" s="116">
        <f t="shared" si="19"/>
        <v>0.045</v>
      </c>
      <c r="Q231" s="36"/>
      <c r="R231" s="36"/>
      <c r="S231" s="36"/>
      <c r="T231" s="36"/>
      <c r="U231" s="36"/>
      <c r="V231" s="36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</row>
    <row r="232" spans="2:56" ht="15">
      <c r="B232" s="37"/>
      <c r="C232" s="114">
        <f t="shared" si="10"/>
        <v>117</v>
      </c>
      <c r="D232" s="115">
        <f t="shared" si="13"/>
        <v>0</v>
      </c>
      <c r="E232" s="115">
        <f t="shared" si="14"/>
        <v>0</v>
      </c>
      <c r="F232" s="114"/>
      <c r="G232" s="114">
        <f t="shared" si="11"/>
        <v>117</v>
      </c>
      <c r="H232" s="115">
        <f t="shared" si="15"/>
        <v>0</v>
      </c>
      <c r="I232" s="115"/>
      <c r="J232" s="114">
        <f t="shared" si="12"/>
        <v>117</v>
      </c>
      <c r="K232" s="115">
        <f t="shared" si="16"/>
        <v>0</v>
      </c>
      <c r="L232" s="114"/>
      <c r="M232" s="114">
        <f t="shared" si="9"/>
        <v>117</v>
      </c>
      <c r="N232" s="116">
        <f t="shared" si="17"/>
        <v>0.3986454162836384</v>
      </c>
      <c r="O232" s="116">
        <f t="shared" si="18"/>
        <v>0.05</v>
      </c>
      <c r="P232" s="116">
        <f t="shared" si="19"/>
        <v>0.045</v>
      </c>
      <c r="Q232" s="36"/>
      <c r="R232" s="36"/>
      <c r="S232" s="36"/>
      <c r="T232" s="36"/>
      <c r="U232" s="36"/>
      <c r="V232" s="36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</row>
    <row r="233" spans="2:56" ht="15">
      <c r="B233" s="37"/>
      <c r="C233" s="114">
        <f t="shared" si="10"/>
        <v>118</v>
      </c>
      <c r="D233" s="115">
        <f t="shared" si="13"/>
        <v>0</v>
      </c>
      <c r="E233" s="115">
        <f t="shared" si="14"/>
        <v>0</v>
      </c>
      <c r="F233" s="114"/>
      <c r="G233" s="114">
        <f t="shared" si="11"/>
        <v>118</v>
      </c>
      <c r="H233" s="115">
        <f t="shared" si="15"/>
        <v>0</v>
      </c>
      <c r="I233" s="115"/>
      <c r="J233" s="114">
        <f t="shared" si="12"/>
        <v>118</v>
      </c>
      <c r="K233" s="115">
        <f t="shared" si="16"/>
        <v>0</v>
      </c>
      <c r="L233" s="114"/>
      <c r="M233" s="114">
        <f t="shared" si="9"/>
        <v>118</v>
      </c>
      <c r="N233" s="116">
        <f t="shared" si="17"/>
        <v>0.40063864336505656</v>
      </c>
      <c r="O233" s="116">
        <f t="shared" si="18"/>
        <v>0.05</v>
      </c>
      <c r="P233" s="116">
        <f t="shared" si="19"/>
        <v>0.045</v>
      </c>
      <c r="Q233" s="36"/>
      <c r="R233" s="36"/>
      <c r="S233" s="36"/>
      <c r="T233" s="36"/>
      <c r="U233" s="36"/>
      <c r="V233" s="36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</row>
    <row r="234" spans="2:56" ht="15">
      <c r="B234" s="37"/>
      <c r="C234" s="114">
        <f t="shared" si="10"/>
        <v>119</v>
      </c>
      <c r="D234" s="115">
        <f t="shared" si="13"/>
        <v>0</v>
      </c>
      <c r="E234" s="115">
        <f t="shared" si="14"/>
        <v>0</v>
      </c>
      <c r="F234" s="114"/>
      <c r="G234" s="114">
        <f t="shared" si="11"/>
        <v>119</v>
      </c>
      <c r="H234" s="115">
        <f t="shared" si="15"/>
        <v>0</v>
      </c>
      <c r="I234" s="115"/>
      <c r="J234" s="114">
        <f t="shared" si="12"/>
        <v>119</v>
      </c>
      <c r="K234" s="115">
        <f t="shared" si="16"/>
        <v>0</v>
      </c>
      <c r="L234" s="114"/>
      <c r="M234" s="114">
        <f t="shared" si="9"/>
        <v>119</v>
      </c>
      <c r="N234" s="116">
        <f t="shared" si="17"/>
        <v>0.4026418365818818</v>
      </c>
      <c r="O234" s="116">
        <f t="shared" si="18"/>
        <v>0.05</v>
      </c>
      <c r="P234" s="116">
        <f t="shared" si="19"/>
        <v>0.045</v>
      </c>
      <c r="Q234" s="36"/>
      <c r="R234" s="36"/>
      <c r="S234" s="36"/>
      <c r="T234" s="36"/>
      <c r="U234" s="36"/>
      <c r="V234" s="36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</row>
    <row r="235" spans="2:56" ht="15">
      <c r="B235" s="37"/>
      <c r="C235" s="114">
        <f t="shared" si="10"/>
        <v>120</v>
      </c>
      <c r="D235" s="115">
        <f t="shared" si="13"/>
        <v>0</v>
      </c>
      <c r="E235" s="115">
        <f t="shared" si="14"/>
        <v>0</v>
      </c>
      <c r="F235" s="114"/>
      <c r="G235" s="114">
        <f t="shared" si="11"/>
        <v>120</v>
      </c>
      <c r="H235" s="115">
        <f t="shared" si="15"/>
        <v>0</v>
      </c>
      <c r="I235" s="115"/>
      <c r="J235" s="114">
        <f t="shared" si="12"/>
        <v>120</v>
      </c>
      <c r="K235" s="115">
        <f t="shared" si="16"/>
        <v>0</v>
      </c>
      <c r="L235" s="114"/>
      <c r="M235" s="114">
        <f t="shared" si="9"/>
        <v>120</v>
      </c>
      <c r="N235" s="116">
        <f t="shared" si="17"/>
        <v>0.4046550457647911</v>
      </c>
      <c r="O235" s="116">
        <f t="shared" si="18"/>
        <v>0.05</v>
      </c>
      <c r="P235" s="116">
        <f t="shared" si="19"/>
        <v>0.045</v>
      </c>
      <c r="Q235" s="36"/>
      <c r="R235" s="36"/>
      <c r="S235" s="36"/>
      <c r="T235" s="36"/>
      <c r="U235" s="36"/>
      <c r="V235" s="36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</row>
    <row r="236" spans="2:56" ht="15">
      <c r="B236" s="37"/>
      <c r="C236" s="114">
        <f t="shared" si="10"/>
        <v>121</v>
      </c>
      <c r="D236" s="115">
        <f t="shared" si="13"/>
        <v>0</v>
      </c>
      <c r="E236" s="115">
        <f t="shared" si="14"/>
        <v>0</v>
      </c>
      <c r="F236" s="114"/>
      <c r="G236" s="114">
        <f t="shared" si="11"/>
        <v>121</v>
      </c>
      <c r="H236" s="115">
        <f t="shared" si="15"/>
        <v>0</v>
      </c>
      <c r="I236" s="115"/>
      <c r="J236" s="114">
        <f t="shared" si="12"/>
        <v>121</v>
      </c>
      <c r="K236" s="115">
        <f t="shared" si="16"/>
        <v>0</v>
      </c>
      <c r="L236" s="114"/>
      <c r="M236" s="114">
        <f t="shared" si="9"/>
        <v>121</v>
      </c>
      <c r="N236" s="116">
        <f t="shared" si="17"/>
        <v>0.40667832099361506</v>
      </c>
      <c r="O236" s="116">
        <f t="shared" si="18"/>
        <v>0.05</v>
      </c>
      <c r="P236" s="116">
        <f t="shared" si="19"/>
        <v>0.045</v>
      </c>
      <c r="Q236" s="36"/>
      <c r="R236" s="36"/>
      <c r="S236" s="36"/>
      <c r="T236" s="36"/>
      <c r="U236" s="36"/>
      <c r="V236" s="36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</row>
    <row r="237" spans="2:56" ht="15">
      <c r="B237" s="37"/>
      <c r="C237" s="114">
        <f t="shared" si="10"/>
        <v>122</v>
      </c>
      <c r="D237" s="115">
        <f t="shared" si="13"/>
        <v>0</v>
      </c>
      <c r="E237" s="115">
        <f t="shared" si="14"/>
        <v>0</v>
      </c>
      <c r="F237" s="114"/>
      <c r="G237" s="114">
        <f t="shared" si="11"/>
        <v>122</v>
      </c>
      <c r="H237" s="115">
        <f t="shared" si="15"/>
        <v>0</v>
      </c>
      <c r="I237" s="115"/>
      <c r="J237" s="114">
        <f t="shared" si="12"/>
        <v>122</v>
      </c>
      <c r="K237" s="115">
        <f t="shared" si="16"/>
        <v>0</v>
      </c>
      <c r="L237" s="114"/>
      <c r="M237" s="114">
        <f t="shared" si="9"/>
        <v>122</v>
      </c>
      <c r="N237" s="116">
        <f t="shared" si="17"/>
        <v>0.408711712598583</v>
      </c>
      <c r="O237" s="116">
        <f t="shared" si="18"/>
        <v>0.05</v>
      </c>
      <c r="P237" s="116">
        <f t="shared" si="19"/>
        <v>0.045</v>
      </c>
      <c r="Q237" s="36"/>
      <c r="R237" s="36"/>
      <c r="S237" s="36"/>
      <c r="T237" s="36"/>
      <c r="U237" s="36"/>
      <c r="V237" s="36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</row>
    <row r="238" spans="2:56" ht="15">
      <c r="B238" s="37"/>
      <c r="C238" s="114">
        <f t="shared" si="10"/>
        <v>123</v>
      </c>
      <c r="D238" s="115">
        <f t="shared" si="13"/>
        <v>0</v>
      </c>
      <c r="E238" s="115">
        <f t="shared" si="14"/>
        <v>0</v>
      </c>
      <c r="F238" s="114"/>
      <c r="G238" s="114">
        <f t="shared" si="11"/>
        <v>123</v>
      </c>
      <c r="H238" s="115">
        <f t="shared" si="15"/>
        <v>0</v>
      </c>
      <c r="I238" s="115"/>
      <c r="J238" s="114">
        <f t="shared" si="12"/>
        <v>123</v>
      </c>
      <c r="K238" s="115">
        <f t="shared" si="16"/>
        <v>0</v>
      </c>
      <c r="L238" s="114"/>
      <c r="M238" s="114">
        <f t="shared" si="9"/>
        <v>123</v>
      </c>
      <c r="N238" s="116">
        <f t="shared" si="17"/>
        <v>0.4107552711615759</v>
      </c>
      <c r="O238" s="116">
        <f t="shared" si="18"/>
        <v>0.05</v>
      </c>
      <c r="P238" s="116">
        <f t="shared" si="19"/>
        <v>0.045</v>
      </c>
      <c r="Q238" s="36"/>
      <c r="R238" s="36"/>
      <c r="S238" s="36"/>
      <c r="T238" s="36"/>
      <c r="U238" s="36"/>
      <c r="V238" s="36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</row>
    <row r="239" spans="2:56" ht="15">
      <c r="B239" s="37"/>
      <c r="C239" s="114">
        <f t="shared" si="10"/>
        <v>124</v>
      </c>
      <c r="D239" s="115">
        <f>T316*IF(C239&gt;105,0,1)</f>
        <v>0</v>
      </c>
      <c r="E239" s="115">
        <f>AC316*IF(C239&gt;105,0,1)</f>
        <v>0</v>
      </c>
      <c r="F239" s="114"/>
      <c r="G239" s="114">
        <f t="shared" si="11"/>
        <v>124</v>
      </c>
      <c r="H239" s="115">
        <f>IF(G239&gt;105,0,IF(Y316+Z316&lt;0,0,Y316+Z316))</f>
        <v>0</v>
      </c>
      <c r="I239" s="115"/>
      <c r="J239" s="114">
        <f t="shared" si="12"/>
        <v>124</v>
      </c>
      <c r="K239" s="115">
        <f>IF(J239&gt;105,0,IF(Q316&lt;0,0,Q316))</f>
        <v>0</v>
      </c>
      <c r="L239" s="114"/>
      <c r="M239" s="114">
        <f t="shared" si="9"/>
        <v>124</v>
      </c>
      <c r="N239" s="116">
        <f aca="true" t="shared" si="20" ref="N239:P241">I316</f>
        <v>0.41280904751738373</v>
      </c>
      <c r="O239" s="116">
        <f t="shared" si="20"/>
        <v>0.05</v>
      </c>
      <c r="P239" s="116">
        <f t="shared" si="20"/>
        <v>0.045</v>
      </c>
      <c r="Q239" s="36"/>
      <c r="R239" s="36"/>
      <c r="S239" s="36"/>
      <c r="T239" s="36"/>
      <c r="U239" s="36"/>
      <c r="V239" s="36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</row>
    <row r="240" spans="2:56" ht="15">
      <c r="B240" s="37"/>
      <c r="C240" s="114">
        <f t="shared" si="10"/>
        <v>125</v>
      </c>
      <c r="D240" s="115">
        <f>T317*IF(C240&gt;105,0,1)</f>
        <v>0</v>
      </c>
      <c r="E240" s="115">
        <f>AC317*IF(C240&gt;105,0,1)</f>
        <v>0</v>
      </c>
      <c r="F240" s="114"/>
      <c r="G240" s="114">
        <f t="shared" si="11"/>
        <v>125</v>
      </c>
      <c r="H240" s="115">
        <f>IF(G240&gt;105,0,IF(Y317+Z317&lt;0,0,Y317+Z317))</f>
        <v>0</v>
      </c>
      <c r="I240" s="115"/>
      <c r="J240" s="114">
        <f t="shared" si="12"/>
        <v>125</v>
      </c>
      <c r="K240" s="115">
        <f>IF(J240&gt;105,0,IF(Q317&lt;0,0,Q317))</f>
        <v>0</v>
      </c>
      <c r="L240" s="114"/>
      <c r="M240" s="114">
        <f>C240</f>
        <v>125</v>
      </c>
      <c r="N240" s="116">
        <f t="shared" si="20"/>
        <v>0.4148730927549706</v>
      </c>
      <c r="O240" s="116">
        <f t="shared" si="20"/>
        <v>0.05</v>
      </c>
      <c r="P240" s="116">
        <f t="shared" si="20"/>
        <v>0.045</v>
      </c>
      <c r="Q240" s="36"/>
      <c r="R240" s="36"/>
      <c r="S240" s="36"/>
      <c r="T240" s="36"/>
      <c r="U240" s="36"/>
      <c r="V240" s="36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</row>
    <row r="241" spans="2:56" ht="15">
      <c r="B241" s="37"/>
      <c r="C241" s="114">
        <f t="shared" si="10"/>
        <v>126</v>
      </c>
      <c r="D241" s="115">
        <f>T318*IF(C241&gt;105,0,1)</f>
        <v>0</v>
      </c>
      <c r="E241" s="115">
        <f>AC318*IF(C241&gt;105,0,1)</f>
        <v>0</v>
      </c>
      <c r="F241" s="114"/>
      <c r="G241" s="114">
        <f t="shared" si="11"/>
        <v>126</v>
      </c>
      <c r="H241" s="115">
        <f>IF(G241&gt;105,0,IF(Y318+Z318&lt;0,0,Y318+Z318))</f>
        <v>0</v>
      </c>
      <c r="I241" s="115"/>
      <c r="J241" s="114">
        <f t="shared" si="12"/>
        <v>126</v>
      </c>
      <c r="K241" s="115">
        <f>IF(J241&gt;105,0,IF(Q318&lt;0,0,Q318))</f>
        <v>0</v>
      </c>
      <c r="L241" s="114"/>
      <c r="M241" s="114">
        <f>C241</f>
        <v>126</v>
      </c>
      <c r="N241" s="116">
        <f t="shared" si="20"/>
        <v>0.41694745821874535</v>
      </c>
      <c r="O241" s="116">
        <f t="shared" si="20"/>
        <v>0.05</v>
      </c>
      <c r="P241" s="116">
        <f t="shared" si="20"/>
        <v>0.045</v>
      </c>
      <c r="Q241" s="36"/>
      <c r="R241" s="36"/>
      <c r="S241" s="36"/>
      <c r="T241" s="36"/>
      <c r="U241" s="36"/>
      <c r="V241" s="36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</row>
    <row r="242" spans="2:56" ht="15">
      <c r="B242" s="37"/>
      <c r="C242" s="36"/>
      <c r="D242" s="36"/>
      <c r="E242" s="36"/>
      <c r="F242" s="36"/>
      <c r="G242" s="40"/>
      <c r="H242" s="40"/>
      <c r="I242" s="40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</row>
    <row r="243" spans="2:58" ht="15">
      <c r="B243" s="37"/>
      <c r="C243" s="36"/>
      <c r="D243" s="36"/>
      <c r="E243" s="36"/>
      <c r="F243" s="36"/>
      <c r="G243" s="40"/>
      <c r="H243" s="40"/>
      <c r="I243" s="40"/>
      <c r="J243" s="40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</row>
    <row r="244" spans="2:58" ht="15">
      <c r="B244" s="37"/>
      <c r="C244" s="36"/>
      <c r="D244" s="36"/>
      <c r="E244" s="36"/>
      <c r="F244" s="36"/>
      <c r="G244" s="40"/>
      <c r="H244" s="40"/>
      <c r="I244" s="40"/>
      <c r="J244" s="40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</row>
    <row r="245" spans="2:58" ht="15">
      <c r="B245" s="37"/>
      <c r="C245" s="36"/>
      <c r="D245" s="36"/>
      <c r="E245" s="36"/>
      <c r="F245" s="36"/>
      <c r="G245" s="40"/>
      <c r="H245" s="40"/>
      <c r="I245" s="40"/>
      <c r="J245" s="40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</row>
    <row r="246" spans="2:58" ht="15">
      <c r="B246" s="37"/>
      <c r="C246" s="36"/>
      <c r="D246" s="36"/>
      <c r="E246" s="36"/>
      <c r="F246" s="36"/>
      <c r="G246" s="40"/>
      <c r="H246" s="40"/>
      <c r="I246" s="40"/>
      <c r="J246" s="40"/>
      <c r="K246" s="40"/>
      <c r="L246" s="40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</row>
    <row r="247" spans="3:59" ht="15">
      <c r="C247" s="37"/>
      <c r="D247" s="36"/>
      <c r="E247" s="36"/>
      <c r="F247" s="36"/>
      <c r="G247" s="36"/>
      <c r="H247" s="40"/>
      <c r="I247" s="40"/>
      <c r="J247" s="40"/>
      <c r="K247" s="40"/>
      <c r="L247" s="40"/>
      <c r="M247" s="40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</row>
    <row r="248" spans="3:59" ht="15" hidden="1">
      <c r="C248" s="50"/>
      <c r="D248" s="51"/>
      <c r="E248" s="51"/>
      <c r="F248" s="51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</row>
    <row r="249" spans="3:59" ht="15" hidden="1">
      <c r="C249" s="50"/>
      <c r="D249" s="74">
        <f>A113</f>
        <v>0.015</v>
      </c>
      <c r="E249" s="50" t="s">
        <v>79</v>
      </c>
      <c r="F249" s="50"/>
      <c r="I249" s="36"/>
      <c r="J249" s="36"/>
      <c r="K249" s="36"/>
      <c r="L249" s="36"/>
      <c r="M249" s="36"/>
      <c r="N249" s="42" t="s">
        <v>22</v>
      </c>
      <c r="O249" s="36"/>
      <c r="P249" s="36"/>
      <c r="Q249" s="36"/>
      <c r="R249" s="36"/>
      <c r="S249" s="36"/>
      <c r="T249" s="36"/>
      <c r="U249" s="36"/>
      <c r="V249" s="36"/>
      <c r="W249" s="42" t="s">
        <v>21</v>
      </c>
      <c r="X249" s="36"/>
      <c r="Y249" s="36"/>
      <c r="Z249" s="36"/>
      <c r="AA249" s="36"/>
      <c r="AB249" s="36"/>
      <c r="AC249" s="36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</row>
    <row r="250" spans="3:59" ht="15" hidden="1">
      <c r="C250" s="53" t="s">
        <v>77</v>
      </c>
      <c r="D250" s="50"/>
      <c r="E250" s="50">
        <v>1965</v>
      </c>
      <c r="F250" s="50"/>
      <c r="G250" t="s">
        <v>89</v>
      </c>
      <c r="I250" s="36"/>
      <c r="J250" s="36"/>
      <c r="K250" s="36"/>
      <c r="L250" s="36"/>
      <c r="M250" s="36"/>
      <c r="N250" s="36"/>
      <c r="O250" s="36"/>
      <c r="P250" s="36" t="s">
        <v>9</v>
      </c>
      <c r="Q250" s="36"/>
      <c r="R250" s="36" t="s">
        <v>13</v>
      </c>
      <c r="S250" s="36"/>
      <c r="T250" s="36"/>
      <c r="U250" s="37"/>
      <c r="V250" s="36"/>
      <c r="W250" s="36"/>
      <c r="X250" s="36" t="s">
        <v>9</v>
      </c>
      <c r="Y250" s="36"/>
      <c r="Z250" s="36" t="s">
        <v>17</v>
      </c>
      <c r="AA250" s="36" t="s">
        <v>13</v>
      </c>
      <c r="AB250" s="36"/>
      <c r="AC250" s="36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</row>
    <row r="251" spans="3:59" ht="15" hidden="1">
      <c r="C251" s="50" t="s">
        <v>4</v>
      </c>
      <c r="D251" s="50" t="s">
        <v>10</v>
      </c>
      <c r="E251" s="50" t="s">
        <v>4</v>
      </c>
      <c r="F251" s="50" t="s">
        <v>10</v>
      </c>
      <c r="G251" s="50" t="s">
        <v>4</v>
      </c>
      <c r="H251" s="50" t="s">
        <v>10</v>
      </c>
      <c r="I251" s="43" t="s">
        <v>2</v>
      </c>
      <c r="J251" s="43" t="s">
        <v>4</v>
      </c>
      <c r="K251" s="43" t="s">
        <v>10</v>
      </c>
      <c r="L251" s="43" t="s">
        <v>40</v>
      </c>
      <c r="M251" s="43" t="s">
        <v>5</v>
      </c>
      <c r="N251" s="43" t="s">
        <v>6</v>
      </c>
      <c r="O251" s="43" t="s">
        <v>5</v>
      </c>
      <c r="P251" s="43" t="s">
        <v>12</v>
      </c>
      <c r="Q251" s="43" t="s">
        <v>14</v>
      </c>
      <c r="R251" s="43" t="s">
        <v>1</v>
      </c>
      <c r="S251" s="36" t="s">
        <v>102</v>
      </c>
      <c r="T251" s="43" t="s">
        <v>15</v>
      </c>
      <c r="U251" s="37"/>
      <c r="V251" s="43"/>
      <c r="W251" s="43" t="s">
        <v>5</v>
      </c>
      <c r="X251" s="43" t="s">
        <v>12</v>
      </c>
      <c r="Y251" s="43" t="s">
        <v>3</v>
      </c>
      <c r="Z251" s="43" t="s">
        <v>16</v>
      </c>
      <c r="AA251" s="43" t="s">
        <v>0</v>
      </c>
      <c r="AB251" s="36" t="s">
        <v>102</v>
      </c>
      <c r="AC251" s="43" t="s">
        <v>15</v>
      </c>
      <c r="AD251" s="37"/>
      <c r="AE251" s="37"/>
      <c r="AF251" s="37" t="s">
        <v>78</v>
      </c>
      <c r="AG251" s="37" t="s">
        <v>103</v>
      </c>
      <c r="AH251" s="37" t="s">
        <v>104</v>
      </c>
      <c r="AI251" s="37" t="s">
        <v>78</v>
      </c>
      <c r="AJ251" s="37" t="s">
        <v>103</v>
      </c>
      <c r="AK251" s="37" t="s">
        <v>104</v>
      </c>
      <c r="AL251" s="62" t="s">
        <v>199</v>
      </c>
      <c r="AM251" s="37" t="s">
        <v>10</v>
      </c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</row>
    <row r="252" spans="3:59" ht="15" hidden="1">
      <c r="C252" s="54">
        <f>AL253-$D$249</f>
        <v>0.026387279103650123</v>
      </c>
      <c r="D252" s="64">
        <f>AM253</f>
        <v>0.029914529914530037</v>
      </c>
      <c r="E252" s="54">
        <f>AL270-$D$249</f>
        <v>0.059164388104788745</v>
      </c>
      <c r="F252" s="54">
        <f>AM270</f>
        <v>0.019230769230769277</v>
      </c>
      <c r="G252" s="44">
        <f>$A$83</f>
        <v>0.05</v>
      </c>
      <c r="H252" s="44">
        <f>$A$87</f>
        <v>0.03</v>
      </c>
      <c r="I252" s="44">
        <f>$A$67</f>
        <v>0.3</v>
      </c>
      <c r="J252" s="69">
        <f>IF($I$129=1,G252,IF($I$129=2,C252,E252))</f>
        <v>0.059164388104788745</v>
      </c>
      <c r="K252" s="69">
        <f>IF($I$129=1,H252,IF($I$129=2,D252,F252))</f>
        <v>0.019230769230769277</v>
      </c>
      <c r="L252" s="45">
        <v>1</v>
      </c>
      <c r="M252" s="36">
        <v>70</v>
      </c>
      <c r="N252" s="46">
        <v>27.4</v>
      </c>
      <c r="O252" s="36">
        <f>$A$41</f>
        <v>60</v>
      </c>
      <c r="P252" s="47">
        <f aca="true" t="shared" si="21" ref="P252:P283">IF(O252&lt;$A$43,0,$A$121*L252/$L$252)</f>
        <v>0</v>
      </c>
      <c r="Q252" s="48">
        <v>0</v>
      </c>
      <c r="R252" s="49">
        <f>$A$55</f>
        <v>100000</v>
      </c>
      <c r="S252" s="49">
        <f>A116-I252*A55*A61</f>
        <v>3000</v>
      </c>
      <c r="T252" s="40">
        <f>R252+S252</f>
        <v>103000</v>
      </c>
      <c r="U252" s="37"/>
      <c r="V252" s="47"/>
      <c r="W252" s="36">
        <f>$A$41</f>
        <v>60</v>
      </c>
      <c r="X252" s="47">
        <f aca="true" t="shared" si="22" ref="X252:X315">P252</f>
        <v>0</v>
      </c>
      <c r="Y252" s="47">
        <f>IF(W252&lt;70,0,AA252/LOOKUP(W252,$M$252:$N$296))*IF(AA252&lt;0,0,1)</f>
        <v>0</v>
      </c>
      <c r="Z252" s="49">
        <v>0</v>
      </c>
      <c r="AA252" s="49">
        <f>$A$55</f>
        <v>100000</v>
      </c>
      <c r="AB252" s="49">
        <f>A116</f>
        <v>30000</v>
      </c>
      <c r="AC252" s="40">
        <f aca="true" t="shared" si="23" ref="AC252:AC283">AA252*(1-I252)+AB252</f>
        <v>100000</v>
      </c>
      <c r="AD252" s="37"/>
      <c r="AE252" s="55">
        <v>1947</v>
      </c>
      <c r="AF252">
        <v>2.7905</v>
      </c>
      <c r="AG252">
        <v>25.9354</v>
      </c>
      <c r="AH252">
        <v>125.9869</v>
      </c>
      <c r="AI252" s="37"/>
      <c r="AJ252" s="37"/>
      <c r="AK252" s="37"/>
      <c r="AL252" s="63" t="s">
        <v>198</v>
      </c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</row>
    <row r="253" spans="3:59" ht="15" hidden="1">
      <c r="C253" s="54">
        <f aca="true" t="shared" si="24" ref="C253:C316">AL254-$D$249</f>
        <v>0.0937508767705417</v>
      </c>
      <c r="D253" s="64">
        <f aca="true" t="shared" si="25" ref="D253:D316">AM254</f>
        <v>-0.02074688796680498</v>
      </c>
      <c r="E253" s="54">
        <f aca="true" t="shared" si="26" ref="E253:E316">AL271-$D$249</f>
        <v>-0.06159847242710513</v>
      </c>
      <c r="F253" s="54">
        <f aca="true" t="shared" si="27" ref="F253:F316">AM271</f>
        <v>0.03459119496855339</v>
      </c>
      <c r="G253" s="44">
        <f>$A$84</f>
        <v>0.06</v>
      </c>
      <c r="H253" s="44">
        <f>$A$88</f>
        <v>0.04</v>
      </c>
      <c r="I253" s="8">
        <f>IF(OR(O253&lt;$C$43,O253&lt;$O$252+4),$C$68,$C$69)*FV($C$71,O253-$O$252,,-1)</f>
        <v>0.25125</v>
      </c>
      <c r="J253" s="69">
        <f>IF($I$129=1,G253,IF($I$129=2,C253,E253))</f>
        <v>-0.06159847242710513</v>
      </c>
      <c r="K253" s="69">
        <f>IF($I$129=1,H253,IF($I$129=2,D253,F253))</f>
        <v>0.03459119496855339</v>
      </c>
      <c r="L253" s="45">
        <f>L252*(1+K252)</f>
        <v>1.0192307692307694</v>
      </c>
      <c r="M253" s="36">
        <v>71</v>
      </c>
      <c r="N253" s="46">
        <v>26.5</v>
      </c>
      <c r="O253" s="36">
        <f>O252+1</f>
        <v>61</v>
      </c>
      <c r="P253" s="47">
        <f t="shared" si="21"/>
        <v>0</v>
      </c>
      <c r="Q253" s="48">
        <f>IF(S252=0,P253,IF(S252&gt;P253,0,IF(S252&lt;0,-S252,0)))</f>
        <v>0</v>
      </c>
      <c r="R253" s="49">
        <f aca="true" t="shared" si="28" ref="R253:R284">(R252-0.5*Q252)*(1+J252)-0.5*Q252</f>
        <v>105916.43881047888</v>
      </c>
      <c r="S253" s="49">
        <f aca="true" t="shared" si="29" ref="S253:S284">(S252-0.5*P252+0.5*Q252)*(1+J252*(1-I252))-0.5*P252+0.5*Q252</f>
        <v>3124.2452150200565</v>
      </c>
      <c r="T253" s="40">
        <f aca="true" t="shared" si="30" ref="T253:T316">R253+S253</f>
        <v>109040.68402549894</v>
      </c>
      <c r="U253" s="37"/>
      <c r="V253" s="47"/>
      <c r="W253" s="36">
        <f aca="true" t="shared" si="31" ref="W253:W316">W252+1</f>
        <v>61</v>
      </c>
      <c r="X253" s="47">
        <f t="shared" si="22"/>
        <v>0</v>
      </c>
      <c r="Y253" s="47">
        <f aca="true" t="shared" si="32" ref="Y253:Y316">IF(W253&lt;70,0,AA253/LOOKUP(W253,$M$252:$N$296))*IF(AA253&lt;0,0,1)</f>
        <v>0</v>
      </c>
      <c r="Z253" s="47">
        <f aca="true" t="shared" si="33" ref="Z253:Z284">IF(AA252&lt;X253,0,IF(AB253&gt;X253,0,X253*(1+I252)))</f>
        <v>0</v>
      </c>
      <c r="AA253" s="48">
        <f aca="true" t="shared" si="34" ref="AA253:AA284">(AA252-0.5*Z252-0.5*Y252)*(1+J252)-0.5*Z252-0.5*Y252</f>
        <v>105916.43881047888</v>
      </c>
      <c r="AB253" s="49">
        <f aca="true" t="shared" si="35" ref="AB253:AB284">(AB252-0.5*X252+0.5*(Y252+Z252)*(1-I252*$A$61))*(1+J252*(1-I252))-0.5*X252+0.5*(Y252+Z252)*(1-I252*$A$61)</f>
        <v>31242.452150200563</v>
      </c>
      <c r="AC253" s="40">
        <f t="shared" si="23"/>
        <v>110547.38570954664</v>
      </c>
      <c r="AD253" s="37"/>
      <c r="AE253" s="55">
        <v>1948</v>
      </c>
      <c r="AF253">
        <v>2.9328</v>
      </c>
      <c r="AG253">
        <v>26.8969</v>
      </c>
      <c r="AH253">
        <v>127.3235</v>
      </c>
      <c r="AI253" s="61">
        <f>(AF253-AF252)/AF252</f>
        <v>0.0509944454398852</v>
      </c>
      <c r="AJ253" s="61">
        <f>(AG253-AG252)/AG252</f>
        <v>0.03707288108145613</v>
      </c>
      <c r="AK253" s="61">
        <f>(AH253-AH252)/AH252</f>
        <v>0.010609039511250693</v>
      </c>
      <c r="AL253" s="61">
        <f>$C$102*AI253+(0.9-$C$102)*AJ253+0.1*AK253</f>
        <v>0.04138727910365012</v>
      </c>
      <c r="AM253" s="65">
        <v>0.029914529914530037</v>
      </c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</row>
    <row r="254" spans="3:59" ht="15" hidden="1">
      <c r="C254" s="54">
        <f t="shared" si="24"/>
        <v>0.14668820932839566</v>
      </c>
      <c r="D254" s="64">
        <f t="shared" si="25"/>
        <v>0.059322033898305024</v>
      </c>
      <c r="E254" s="54">
        <f t="shared" si="26"/>
        <v>0.10445413437899188</v>
      </c>
      <c r="F254" s="54">
        <f t="shared" si="27"/>
        <v>0.030395136778115502</v>
      </c>
      <c r="G254" s="44">
        <f>0.5*($J$253+$J$255)</f>
        <v>0.03686753745504746</v>
      </c>
      <c r="H254" s="44">
        <f>0.5*($K$253+$K$255)</f>
        <v>0.04089441754327376</v>
      </c>
      <c r="I254" s="8">
        <f aca="true" t="shared" si="36" ref="I254:I317">IF(OR(O254&lt;$C$43,O254&lt;$O$252+4),$C$68,$C$69)*FV($C$71,O254-$O$252,,-1)</f>
        <v>0.25250624999999993</v>
      </c>
      <c r="J254" s="69">
        <f aca="true" t="shared" si="37" ref="J254:J317">IF($I$129=1,G254,IF($I$129=2,C254,E254))</f>
        <v>0.10445413437899188</v>
      </c>
      <c r="K254" s="69">
        <f aca="true" t="shared" si="38" ref="K254:K317">IF($I$129=1,H254,IF($I$129=2,D254,F254))</f>
        <v>0.030395136778115502</v>
      </c>
      <c r="L254" s="45">
        <f aca="true" t="shared" si="39" ref="L254:L317">L253*(1+K253)</f>
        <v>1.0544871794871795</v>
      </c>
      <c r="M254" s="36">
        <v>72</v>
      </c>
      <c r="N254" s="46">
        <v>25.6</v>
      </c>
      <c r="O254" s="36">
        <f>O253+1</f>
        <v>62</v>
      </c>
      <c r="P254" s="47">
        <f t="shared" si="21"/>
        <v>0</v>
      </c>
      <c r="Q254" s="48">
        <f aca="true" t="shared" si="40" ref="Q254:Q317">IF(S253=0,P254,IF(S253&gt;P254,0,IF(S253&lt;0,-S253,0)))</f>
        <v>0</v>
      </c>
      <c r="R254" s="47">
        <f t="shared" si="28"/>
        <v>99392.14797483443</v>
      </c>
      <c r="S254" s="49">
        <f t="shared" si="29"/>
        <v>2980.149226386277</v>
      </c>
      <c r="T254" s="40">
        <f t="shared" si="30"/>
        <v>102372.2972012207</v>
      </c>
      <c r="U254" s="37"/>
      <c r="V254" s="47"/>
      <c r="W254" s="36">
        <f t="shared" si="31"/>
        <v>62</v>
      </c>
      <c r="X254" s="47">
        <f t="shared" si="22"/>
        <v>0</v>
      </c>
      <c r="Y254" s="47">
        <f t="shared" si="32"/>
        <v>0</v>
      </c>
      <c r="Z254" s="47">
        <f t="shared" si="33"/>
        <v>0</v>
      </c>
      <c r="AA254" s="48">
        <f t="shared" si="34"/>
        <v>99392.14797483443</v>
      </c>
      <c r="AB254" s="49">
        <f t="shared" si="35"/>
        <v>29801.492263862765</v>
      </c>
      <c r="AC254" s="40">
        <f t="shared" si="23"/>
        <v>104096.50167412666</v>
      </c>
      <c r="AD254" s="37"/>
      <c r="AE254" s="55">
        <v>1949</v>
      </c>
      <c r="AF254">
        <v>3.4626</v>
      </c>
      <c r="AG254">
        <v>28.0606</v>
      </c>
      <c r="AH254">
        <v>128.7515</v>
      </c>
      <c r="AI254" s="61">
        <f aca="true" t="shared" si="41" ref="AI254:AI313">(AF254-AF253)/AF253</f>
        <v>0.18064648117839618</v>
      </c>
      <c r="AJ254" s="61">
        <f aca="true" t="shared" si="42" ref="AJ254:AJ313">(AG254-AG253)/AG253</f>
        <v>0.043265209001780956</v>
      </c>
      <c r="AK254" s="61">
        <f aca="true" t="shared" si="43" ref="AK254:AK313">(AH254-AH253)/AH253</f>
        <v>0.011215525806312247</v>
      </c>
      <c r="AL254" s="61">
        <f aca="true" t="shared" si="44" ref="AL254:AL313">$C$102*AI254+(0.9-$C$102)*AJ254+0.1*AK254</f>
        <v>0.1087508767705417</v>
      </c>
      <c r="AM254" s="65">
        <v>-0.02074688796680498</v>
      </c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</row>
    <row r="255" spans="3:59" ht="15" hidden="1">
      <c r="C255" s="54">
        <f t="shared" si="24"/>
        <v>0.10848501894373241</v>
      </c>
      <c r="D255" s="64">
        <f t="shared" si="25"/>
        <v>0.06</v>
      </c>
      <c r="E255" s="54">
        <f t="shared" si="26"/>
        <v>0.13533354733720004</v>
      </c>
      <c r="F255" s="54">
        <f t="shared" si="27"/>
        <v>0.04719764011799414</v>
      </c>
      <c r="G255" s="44">
        <f>0.5*($J$253+$J$257)</f>
        <v>-0.0028429609585653506</v>
      </c>
      <c r="H255" s="44">
        <f>0.5*($K$253+$K$257)</f>
        <v>0.045147056370218264</v>
      </c>
      <c r="I255" s="8">
        <f t="shared" si="36"/>
        <v>0.2537687812499999</v>
      </c>
      <c r="J255" s="69">
        <f t="shared" si="37"/>
        <v>0.13533354733720004</v>
      </c>
      <c r="K255" s="69">
        <f t="shared" si="38"/>
        <v>0.04719764011799414</v>
      </c>
      <c r="L255" s="45">
        <f t="shared" si="39"/>
        <v>1.0865384615384615</v>
      </c>
      <c r="M255" s="36">
        <v>73</v>
      </c>
      <c r="N255" s="46">
        <v>24.7</v>
      </c>
      <c r="O255" s="36">
        <f aca="true" t="shared" si="45" ref="O255:O318">O254+1</f>
        <v>63</v>
      </c>
      <c r="P255" s="47">
        <f t="shared" si="21"/>
        <v>0</v>
      </c>
      <c r="Q255" s="48">
        <f t="shared" si="40"/>
        <v>0</v>
      </c>
      <c r="R255" s="47">
        <f t="shared" si="28"/>
        <v>109774.06875561444</v>
      </c>
      <c r="S255" s="49">
        <f t="shared" si="29"/>
        <v>3212.835739382998</v>
      </c>
      <c r="T255" s="40">
        <f t="shared" si="30"/>
        <v>112986.90449499743</v>
      </c>
      <c r="U255" s="37"/>
      <c r="V255" s="36"/>
      <c r="W255" s="36">
        <f t="shared" si="31"/>
        <v>63</v>
      </c>
      <c r="X255" s="47">
        <f t="shared" si="22"/>
        <v>0</v>
      </c>
      <c r="Y255" s="47">
        <f t="shared" si="32"/>
        <v>0</v>
      </c>
      <c r="Z255" s="47">
        <f t="shared" si="33"/>
        <v>0</v>
      </c>
      <c r="AA255" s="48">
        <f t="shared" si="34"/>
        <v>109774.06875561444</v>
      </c>
      <c r="AB255" s="49">
        <f t="shared" si="35"/>
        <v>32128.357393829974</v>
      </c>
      <c r="AC255" s="40">
        <f t="shared" si="23"/>
        <v>114045.19450847845</v>
      </c>
      <c r="AD255" s="37"/>
      <c r="AE255" s="55">
        <v>1950</v>
      </c>
      <c r="AF255">
        <v>4.5215</v>
      </c>
      <c r="AG255">
        <v>28.5912</v>
      </c>
      <c r="AH255">
        <v>130.3213</v>
      </c>
      <c r="AI255" s="61">
        <f t="shared" si="41"/>
        <v>0.30581066250794187</v>
      </c>
      <c r="AJ255" s="61">
        <f t="shared" si="42"/>
        <v>0.0189090753583316</v>
      </c>
      <c r="AK255" s="61">
        <f t="shared" si="43"/>
        <v>0.012192479310920766</v>
      </c>
      <c r="AL255" s="61">
        <f t="shared" si="44"/>
        <v>0.16168820932839564</v>
      </c>
      <c r="AM255" s="65">
        <v>0.059322033898305024</v>
      </c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</row>
    <row r="256" spans="3:59" ht="15" hidden="1">
      <c r="C256" s="54">
        <f t="shared" si="24"/>
        <v>0.09295574447929723</v>
      </c>
      <c r="D256" s="64">
        <f t="shared" si="25"/>
        <v>0.007547169811320728</v>
      </c>
      <c r="E256" s="54">
        <f t="shared" si="26"/>
        <v>-0.06026575842155586</v>
      </c>
      <c r="F256" s="54">
        <f t="shared" si="27"/>
        <v>0.06197183098591557</v>
      </c>
      <c r="G256" s="44">
        <f>0.5*($J$255+$J$257)</f>
        <v>0.09562304892358724</v>
      </c>
      <c r="H256" s="44">
        <f>0.5*($K$255+$K$257)</f>
        <v>0.051450278944938636</v>
      </c>
      <c r="I256" s="8">
        <f t="shared" si="36"/>
        <v>0.25503762515624984</v>
      </c>
      <c r="J256" s="69">
        <f t="shared" si="37"/>
        <v>-0.06026575842155586</v>
      </c>
      <c r="K256" s="69">
        <f t="shared" si="38"/>
        <v>0.06197183098591557</v>
      </c>
      <c r="L256" s="45">
        <f t="shared" si="39"/>
        <v>1.1378205128205128</v>
      </c>
      <c r="M256" s="36">
        <v>74</v>
      </c>
      <c r="N256" s="46">
        <v>23.8</v>
      </c>
      <c r="O256" s="36">
        <f t="shared" si="45"/>
        <v>64</v>
      </c>
      <c r="P256" s="47">
        <f t="shared" si="21"/>
        <v>0</v>
      </c>
      <c r="Q256" s="48">
        <f t="shared" si="40"/>
        <v>0</v>
      </c>
      <c r="R256" s="47">
        <f t="shared" si="28"/>
        <v>124630.18288594946</v>
      </c>
      <c r="S256" s="49">
        <f t="shared" si="29"/>
        <v>3537.300399712522</v>
      </c>
      <c r="T256" s="40">
        <f t="shared" si="30"/>
        <v>128167.48328566198</v>
      </c>
      <c r="U256" s="37"/>
      <c r="V256" s="36"/>
      <c r="W256" s="36">
        <f t="shared" si="31"/>
        <v>64</v>
      </c>
      <c r="X256" s="47">
        <f t="shared" si="22"/>
        <v>0</v>
      </c>
      <c r="Y256" s="47">
        <f t="shared" si="32"/>
        <v>0</v>
      </c>
      <c r="Z256" s="47">
        <f t="shared" si="33"/>
        <v>0</v>
      </c>
      <c r="AA256" s="48">
        <f t="shared" si="34"/>
        <v>124630.18288594946</v>
      </c>
      <c r="AB256" s="49">
        <f t="shared" si="35"/>
        <v>35373.00399712522</v>
      </c>
      <c r="AC256" s="40">
        <f t="shared" si="23"/>
        <v>128217.80101705305</v>
      </c>
      <c r="AD256" s="37"/>
      <c r="AE256" s="55">
        <v>1951</v>
      </c>
      <c r="AF256">
        <v>5.6317</v>
      </c>
      <c r="AG256">
        <v>28.5311</v>
      </c>
      <c r="AH256">
        <v>132.3502</v>
      </c>
      <c r="AI256" s="61">
        <f t="shared" si="41"/>
        <v>0.24553798518190884</v>
      </c>
      <c r="AJ256" s="61">
        <f t="shared" si="42"/>
        <v>-0.0021020453845939325</v>
      </c>
      <c r="AK256" s="61">
        <f t="shared" si="43"/>
        <v>0.01556844506615567</v>
      </c>
      <c r="AL256" s="61">
        <f t="shared" si="44"/>
        <v>0.12348501894373241</v>
      </c>
      <c r="AM256" s="65">
        <v>0.06</v>
      </c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</row>
    <row r="257" spans="3:59" ht="15" hidden="1">
      <c r="C257" s="54">
        <f t="shared" si="24"/>
        <v>-0.010388337507460968</v>
      </c>
      <c r="D257" s="64">
        <f t="shared" si="25"/>
        <v>0.007490636704119823</v>
      </c>
      <c r="E257" s="54">
        <f t="shared" si="26"/>
        <v>0.05591255050997443</v>
      </c>
      <c r="F257" s="54">
        <f t="shared" si="27"/>
        <v>0.05570291777188313</v>
      </c>
      <c r="G257" s="44">
        <f>$A$85</f>
        <v>0.07</v>
      </c>
      <c r="H257" s="44">
        <f>$A$89</f>
        <v>0.05</v>
      </c>
      <c r="I257" s="8">
        <f t="shared" si="36"/>
        <v>0.30757537593843726</v>
      </c>
      <c r="J257" s="69">
        <f t="shared" si="37"/>
        <v>0.05591255050997443</v>
      </c>
      <c r="K257" s="69">
        <f t="shared" si="38"/>
        <v>0.05570291777188313</v>
      </c>
      <c r="L257" s="45">
        <f t="shared" si="39"/>
        <v>1.2083333333333335</v>
      </c>
      <c r="M257" s="36">
        <v>75</v>
      </c>
      <c r="N257" s="46">
        <v>22.9</v>
      </c>
      <c r="O257" s="36">
        <f t="shared" si="45"/>
        <v>65</v>
      </c>
      <c r="P257" s="47">
        <f t="shared" si="21"/>
        <v>6162.500000000001</v>
      </c>
      <c r="Q257" s="48">
        <f t="shared" si="40"/>
        <v>0</v>
      </c>
      <c r="R257" s="47">
        <f t="shared" si="28"/>
        <v>117119.2503921105</v>
      </c>
      <c r="S257" s="49">
        <f t="shared" si="29"/>
        <v>3378.490742513125</v>
      </c>
      <c r="T257" s="40">
        <f t="shared" si="30"/>
        <v>120497.74113462362</v>
      </c>
      <c r="U257" s="37"/>
      <c r="V257" s="36"/>
      <c r="W257" s="36">
        <f t="shared" si="31"/>
        <v>65</v>
      </c>
      <c r="X257" s="47">
        <f t="shared" si="22"/>
        <v>6162.500000000001</v>
      </c>
      <c r="Y257" s="47">
        <f t="shared" si="32"/>
        <v>0</v>
      </c>
      <c r="Z257" s="47">
        <f t="shared" si="33"/>
        <v>0</v>
      </c>
      <c r="AA257" s="48">
        <f t="shared" si="34"/>
        <v>117119.2503921105</v>
      </c>
      <c r="AB257" s="49">
        <f t="shared" si="35"/>
        <v>33784.90742513125</v>
      </c>
      <c r="AC257" s="40">
        <f t="shared" si="23"/>
        <v>114881.1603482604</v>
      </c>
      <c r="AD257" s="37"/>
      <c r="AE257" s="55">
        <v>1952</v>
      </c>
      <c r="AF257">
        <v>6.6736</v>
      </c>
      <c r="AG257">
        <v>29.5088</v>
      </c>
      <c r="AH257">
        <v>134.6603</v>
      </c>
      <c r="AI257" s="61">
        <f t="shared" si="41"/>
        <v>0.18500630360281975</v>
      </c>
      <c r="AJ257" s="61">
        <f t="shared" si="42"/>
        <v>0.03426786909723082</v>
      </c>
      <c r="AK257" s="61">
        <f t="shared" si="43"/>
        <v>0.01745445038995034</v>
      </c>
      <c r="AL257" s="61">
        <f t="shared" si="44"/>
        <v>0.10795574447929723</v>
      </c>
      <c r="AM257" s="65">
        <v>0.007547169811320728</v>
      </c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</row>
    <row r="258" spans="3:59" ht="15" hidden="1">
      <c r="C258" s="54">
        <f t="shared" si="24"/>
        <v>0.2665809179452016</v>
      </c>
      <c r="D258" s="64">
        <f t="shared" si="25"/>
        <v>-0.007434944237918189</v>
      </c>
      <c r="E258" s="54">
        <f t="shared" si="26"/>
        <v>0.09959598302970933</v>
      </c>
      <c r="F258" s="54">
        <f t="shared" si="27"/>
        <v>0.03266331658291468</v>
      </c>
      <c r="G258" s="44">
        <f aca="true" t="shared" si="46" ref="G258:G289">G257</f>
        <v>0.07</v>
      </c>
      <c r="H258" s="44">
        <f aca="true" t="shared" si="47" ref="H258:H289">H257</f>
        <v>0.05</v>
      </c>
      <c r="I258" s="8">
        <f t="shared" si="36"/>
        <v>0.30911325281812935</v>
      </c>
      <c r="J258" s="69">
        <f t="shared" si="37"/>
        <v>0.09959598302970933</v>
      </c>
      <c r="K258" s="69">
        <f t="shared" si="38"/>
        <v>0.03266331658291468</v>
      </c>
      <c r="L258" s="45">
        <f t="shared" si="39"/>
        <v>1.2756410256410255</v>
      </c>
      <c r="M258" s="36">
        <v>76</v>
      </c>
      <c r="N258" s="46">
        <v>22</v>
      </c>
      <c r="O258" s="36">
        <f t="shared" si="45"/>
        <v>66</v>
      </c>
      <c r="P258" s="47">
        <f t="shared" si="21"/>
        <v>6505.7692307692305</v>
      </c>
      <c r="Q258" s="48">
        <f t="shared" si="40"/>
        <v>0</v>
      </c>
      <c r="R258" s="47">
        <f t="shared" si="28"/>
        <v>123667.68639534972</v>
      </c>
      <c r="S258" s="49">
        <f t="shared" si="29"/>
        <v>-2772.501514736032</v>
      </c>
      <c r="T258" s="40">
        <f t="shared" si="30"/>
        <v>120895.1848806137</v>
      </c>
      <c r="U258" s="37"/>
      <c r="V258" s="36"/>
      <c r="W258" s="36">
        <f t="shared" si="31"/>
        <v>66</v>
      </c>
      <c r="X258" s="47">
        <f t="shared" si="22"/>
        <v>6505.7692307692305</v>
      </c>
      <c r="Y258" s="47">
        <f t="shared" si="32"/>
        <v>0</v>
      </c>
      <c r="Z258" s="47">
        <f t="shared" si="33"/>
        <v>0</v>
      </c>
      <c r="AA258" s="48">
        <f t="shared" si="34"/>
        <v>123667.68639534972</v>
      </c>
      <c r="AB258" s="49">
        <f t="shared" si="35"/>
        <v>28811.10648492739</v>
      </c>
      <c r="AC258" s="40">
        <f t="shared" si="23"/>
        <v>114251.47207011824</v>
      </c>
      <c r="AD258" s="37"/>
      <c r="AE258" s="55">
        <v>1953</v>
      </c>
      <c r="AF258">
        <v>6.6002</v>
      </c>
      <c r="AG258">
        <v>30.117</v>
      </c>
      <c r="AH258">
        <v>137.1739</v>
      </c>
      <c r="AI258" s="61">
        <f t="shared" si="41"/>
        <v>-0.010998561496044166</v>
      </c>
      <c r="AJ258" s="61">
        <f t="shared" si="42"/>
        <v>0.020610800845849375</v>
      </c>
      <c r="AK258" s="61">
        <f t="shared" si="43"/>
        <v>0.018666229022213647</v>
      </c>
      <c r="AL258" s="61">
        <f t="shared" si="44"/>
        <v>0.004611662492539031</v>
      </c>
      <c r="AM258" s="65">
        <v>0.007490636704119823</v>
      </c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</row>
    <row r="259" spans="3:59" ht="15" hidden="1">
      <c r="C259" s="54">
        <f t="shared" si="24"/>
        <v>0.1482453306553997</v>
      </c>
      <c r="D259" s="64">
        <f t="shared" si="25"/>
        <v>0.0037453183520599785</v>
      </c>
      <c r="E259" s="54">
        <f t="shared" si="26"/>
        <v>0.11749621557698085</v>
      </c>
      <c r="F259" s="54">
        <f t="shared" si="27"/>
        <v>0.03406326034063257</v>
      </c>
      <c r="G259" s="41">
        <f t="shared" si="46"/>
        <v>0.07</v>
      </c>
      <c r="H259" s="44">
        <f t="shared" si="47"/>
        <v>0.05</v>
      </c>
      <c r="I259" s="8">
        <f t="shared" si="36"/>
        <v>0.31065881908222</v>
      </c>
      <c r="J259" s="69">
        <f t="shared" si="37"/>
        <v>0.11749621557698085</v>
      </c>
      <c r="K259" s="69">
        <f t="shared" si="38"/>
        <v>0.03406326034063257</v>
      </c>
      <c r="L259" s="45">
        <f t="shared" si="39"/>
        <v>1.3173076923076923</v>
      </c>
      <c r="M259" s="36">
        <v>77</v>
      </c>
      <c r="N259" s="46">
        <v>21.2</v>
      </c>
      <c r="O259" s="36">
        <f t="shared" si="45"/>
        <v>67</v>
      </c>
      <c r="P259" s="47">
        <f t="shared" si="21"/>
        <v>6718.2692307692305</v>
      </c>
      <c r="Q259" s="48">
        <f t="shared" si="40"/>
        <v>2772.501514736032</v>
      </c>
      <c r="R259" s="47">
        <f t="shared" si="28"/>
        <v>135984.49119090437</v>
      </c>
      <c r="S259" s="49">
        <f t="shared" si="29"/>
        <v>-9692.87482204843</v>
      </c>
      <c r="T259" s="40">
        <f t="shared" si="30"/>
        <v>126291.61636885595</v>
      </c>
      <c r="U259" s="37"/>
      <c r="V259" s="36"/>
      <c r="W259" s="36">
        <f t="shared" si="31"/>
        <v>67</v>
      </c>
      <c r="X259" s="47">
        <f t="shared" si="22"/>
        <v>6718.2692307692305</v>
      </c>
      <c r="Y259" s="47">
        <f t="shared" si="32"/>
        <v>0</v>
      </c>
      <c r="Z259" s="47">
        <f t="shared" si="33"/>
        <v>0</v>
      </c>
      <c r="AA259" s="48">
        <f t="shared" si="34"/>
        <v>135984.49119090437</v>
      </c>
      <c r="AB259" s="49">
        <f t="shared" si="35"/>
        <v>24063.98686556406</v>
      </c>
      <c r="AC259" s="40">
        <f t="shared" si="23"/>
        <v>117803.69660960554</v>
      </c>
      <c r="AD259" s="37"/>
      <c r="AE259" s="55">
        <v>1954</v>
      </c>
      <c r="AF259">
        <v>10.059</v>
      </c>
      <c r="AG259">
        <v>31.5198</v>
      </c>
      <c r="AH259">
        <v>138.4458</v>
      </c>
      <c r="AI259" s="61">
        <f t="shared" si="41"/>
        <v>0.5240447259173964</v>
      </c>
      <c r="AJ259" s="61">
        <f t="shared" si="42"/>
        <v>0.04657834445661915</v>
      </c>
      <c r="AK259" s="61">
        <f t="shared" si="43"/>
        <v>0.009272172038558268</v>
      </c>
      <c r="AL259" s="61">
        <f t="shared" si="44"/>
        <v>0.2815809179452016</v>
      </c>
      <c r="AM259" s="65">
        <v>-0.007434944237918189</v>
      </c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</row>
    <row r="260" spans="3:59" ht="15" hidden="1">
      <c r="C260" s="54">
        <f t="shared" si="24"/>
        <v>0.013633543982424688</v>
      </c>
      <c r="D260" s="64">
        <f t="shared" si="25"/>
        <v>0.029850746268656744</v>
      </c>
      <c r="E260" s="54">
        <f t="shared" si="26"/>
        <v>-0.06920670922636307</v>
      </c>
      <c r="F260" s="54">
        <f t="shared" si="27"/>
        <v>0.08705882352941183</v>
      </c>
      <c r="G260" s="41">
        <f t="shared" si="46"/>
        <v>0.07</v>
      </c>
      <c r="H260" s="44">
        <f t="shared" si="47"/>
        <v>0.05</v>
      </c>
      <c r="I260" s="8">
        <f t="shared" si="36"/>
        <v>0.31221211317763103</v>
      </c>
      <c r="J260" s="69">
        <f t="shared" si="37"/>
        <v>-0.06920670922636307</v>
      </c>
      <c r="K260" s="69">
        <f t="shared" si="38"/>
        <v>0.08705882352941183</v>
      </c>
      <c r="L260" s="45">
        <f t="shared" si="39"/>
        <v>1.362179487179487</v>
      </c>
      <c r="M260" s="36">
        <v>78</v>
      </c>
      <c r="N260" s="46">
        <v>20.3</v>
      </c>
      <c r="O260" s="36">
        <f t="shared" si="45"/>
        <v>68</v>
      </c>
      <c r="P260" s="47">
        <f t="shared" si="21"/>
        <v>6947.115384615384</v>
      </c>
      <c r="Q260" s="48">
        <f t="shared" si="40"/>
        <v>9692.87482204843</v>
      </c>
      <c r="R260" s="47">
        <f t="shared" si="28"/>
        <v>149026.7735504294</v>
      </c>
      <c r="S260" s="49">
        <f t="shared" si="29"/>
        <v>-14583.51042904906</v>
      </c>
      <c r="T260" s="40">
        <f t="shared" si="30"/>
        <v>134443.26312138035</v>
      </c>
      <c r="U260" s="37"/>
      <c r="V260" s="36"/>
      <c r="W260" s="36">
        <f t="shared" si="31"/>
        <v>68</v>
      </c>
      <c r="X260" s="47">
        <f t="shared" si="22"/>
        <v>6947.115384615384</v>
      </c>
      <c r="Y260" s="47">
        <f t="shared" si="32"/>
        <v>0</v>
      </c>
      <c r="Z260" s="47">
        <f t="shared" si="33"/>
        <v>0</v>
      </c>
      <c r="AA260" s="48">
        <f t="shared" si="34"/>
        <v>151962.15428299693</v>
      </c>
      <c r="AB260" s="49">
        <f t="shared" si="35"/>
        <v>19022.70672868463</v>
      </c>
      <c r="AC260" s="40">
        <f t="shared" si="23"/>
        <v>123540.4356999619</v>
      </c>
      <c r="AD260" s="37"/>
      <c r="AE260" s="55">
        <v>1955</v>
      </c>
      <c r="AF260">
        <v>13.2204</v>
      </c>
      <c r="AG260">
        <v>31.8588</v>
      </c>
      <c r="AH260">
        <v>140.9384</v>
      </c>
      <c r="AI260" s="61">
        <f t="shared" si="41"/>
        <v>0.31428571428571433</v>
      </c>
      <c r="AJ260" s="61">
        <f t="shared" si="42"/>
        <v>0.010755144385433875</v>
      </c>
      <c r="AK260" s="61">
        <f t="shared" si="43"/>
        <v>0.018004157583689864</v>
      </c>
      <c r="AL260" s="61">
        <f t="shared" si="44"/>
        <v>0.1632453306553997</v>
      </c>
      <c r="AM260" s="65">
        <v>0.0037453183520599785</v>
      </c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</row>
    <row r="261" spans="3:59" ht="15" hidden="1">
      <c r="C261" s="54">
        <f t="shared" si="24"/>
        <v>-0.04811745805916491</v>
      </c>
      <c r="D261" s="64">
        <f t="shared" si="25"/>
        <v>0.028985507246376708</v>
      </c>
      <c r="E261" s="54">
        <f t="shared" si="26"/>
        <v>-0.13841003417611597</v>
      </c>
      <c r="F261" s="54">
        <f t="shared" si="27"/>
        <v>0.12337662337662328</v>
      </c>
      <c r="G261" s="41">
        <f t="shared" si="46"/>
        <v>0.07</v>
      </c>
      <c r="H261" s="44">
        <f t="shared" si="47"/>
        <v>0.05</v>
      </c>
      <c r="I261" s="8">
        <f t="shared" si="36"/>
        <v>0.3137731737435192</v>
      </c>
      <c r="J261" s="69">
        <f t="shared" si="37"/>
        <v>-0.13841003417611597</v>
      </c>
      <c r="K261" s="69">
        <f t="shared" si="38"/>
        <v>0.12337662337662328</v>
      </c>
      <c r="L261" s="45">
        <f t="shared" si="39"/>
        <v>1.4807692307692306</v>
      </c>
      <c r="M261" s="36">
        <v>79</v>
      </c>
      <c r="N261" s="46">
        <v>19.5</v>
      </c>
      <c r="O261" s="36">
        <f t="shared" si="45"/>
        <v>69</v>
      </c>
      <c r="P261" s="47">
        <f t="shared" si="21"/>
        <v>7551.923076923076</v>
      </c>
      <c r="Q261" s="48">
        <f t="shared" si="40"/>
        <v>14583.51042904906</v>
      </c>
      <c r="R261" s="47">
        <f t="shared" si="28"/>
        <v>129355.65212902187</v>
      </c>
      <c r="S261" s="49">
        <f t="shared" si="29"/>
        <v>-11208.93109566968</v>
      </c>
      <c r="T261" s="40">
        <f t="shared" si="30"/>
        <v>118146.72103335218</v>
      </c>
      <c r="U261" s="37"/>
      <c r="V261" s="36"/>
      <c r="W261" s="36">
        <f t="shared" si="31"/>
        <v>69</v>
      </c>
      <c r="X261" s="47">
        <f t="shared" si="22"/>
        <v>7551.923076923076</v>
      </c>
      <c r="Y261" s="47">
        <f t="shared" si="32"/>
        <v>0</v>
      </c>
      <c r="Z261" s="47">
        <f t="shared" si="33"/>
        <v>0</v>
      </c>
      <c r="AA261" s="48">
        <f t="shared" si="34"/>
        <v>141445.35365812184</v>
      </c>
      <c r="AB261" s="49">
        <f t="shared" si="35"/>
        <v>11335.459060191148</v>
      </c>
      <c r="AC261" s="40">
        <f t="shared" si="23"/>
        <v>108399.0551897296</v>
      </c>
      <c r="AD261" s="37"/>
      <c r="AE261" s="55">
        <v>1956</v>
      </c>
      <c r="AF261">
        <v>14.0966</v>
      </c>
      <c r="AG261">
        <v>31.2878</v>
      </c>
      <c r="AH261">
        <v>144.6937</v>
      </c>
      <c r="AI261" s="61">
        <f t="shared" si="41"/>
        <v>0.06627636077577084</v>
      </c>
      <c r="AJ261" s="61">
        <f t="shared" si="42"/>
        <v>-0.017922834507263237</v>
      </c>
      <c r="AK261" s="61">
        <f t="shared" si="43"/>
        <v>0.02664497397444561</v>
      </c>
      <c r="AL261" s="61">
        <f t="shared" si="44"/>
        <v>0.028633543982424688</v>
      </c>
      <c r="AM261" s="65">
        <v>0.029850746268656744</v>
      </c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</row>
    <row r="262" spans="3:59" ht="15" hidden="1">
      <c r="C262" s="54">
        <f t="shared" si="24"/>
        <v>0.20682910642290375</v>
      </c>
      <c r="D262" s="64">
        <f t="shared" si="25"/>
        <v>0.017605633802816902</v>
      </c>
      <c r="E262" s="54">
        <f t="shared" si="26"/>
        <v>0.2211704055047879</v>
      </c>
      <c r="F262" s="54">
        <f t="shared" si="27"/>
        <v>0.06936416184971102</v>
      </c>
      <c r="G262" s="41">
        <f t="shared" si="46"/>
        <v>0.07</v>
      </c>
      <c r="H262" s="44">
        <f t="shared" si="47"/>
        <v>0.05</v>
      </c>
      <c r="I262" s="8">
        <f t="shared" si="36"/>
        <v>0.3153420396122367</v>
      </c>
      <c r="J262" s="69">
        <f t="shared" si="37"/>
        <v>0.2211704055047879</v>
      </c>
      <c r="K262" s="69">
        <f t="shared" si="38"/>
        <v>0.06936416184971102</v>
      </c>
      <c r="L262" s="45">
        <f t="shared" si="39"/>
        <v>1.6634615384615383</v>
      </c>
      <c r="M262" s="36">
        <v>80</v>
      </c>
      <c r="N262" s="46">
        <v>18.7</v>
      </c>
      <c r="O262" s="36">
        <f t="shared" si="45"/>
        <v>70</v>
      </c>
      <c r="P262" s="47">
        <f t="shared" si="21"/>
        <v>8483.653846153846</v>
      </c>
      <c r="Q262" s="48">
        <f t="shared" si="40"/>
        <v>11208.93109566968</v>
      </c>
      <c r="R262" s="47">
        <f t="shared" si="28"/>
        <v>97877.27355636733</v>
      </c>
      <c r="S262" s="49">
        <f t="shared" si="29"/>
        <v>-3446.644331830141</v>
      </c>
      <c r="T262" s="40">
        <f t="shared" si="30"/>
        <v>94430.62922453719</v>
      </c>
      <c r="U262" s="37"/>
      <c r="V262" s="36"/>
      <c r="W262" s="36">
        <f t="shared" si="31"/>
        <v>70</v>
      </c>
      <c r="X262" s="47">
        <f t="shared" si="22"/>
        <v>8483.653846153846</v>
      </c>
      <c r="Y262" s="47">
        <f t="shared" si="32"/>
        <v>4447.733482636802</v>
      </c>
      <c r="Z262" s="47">
        <f t="shared" si="33"/>
        <v>11145.596838402951</v>
      </c>
      <c r="AA262" s="48">
        <f t="shared" si="34"/>
        <v>121867.89742424838</v>
      </c>
      <c r="AB262" s="49">
        <f t="shared" si="35"/>
        <v>3065.5297797261746</v>
      </c>
      <c r="AC262" s="40">
        <f t="shared" si="23"/>
        <v>86503.35586695722</v>
      </c>
      <c r="AD262" s="37"/>
      <c r="AE262" s="55">
        <v>1957</v>
      </c>
      <c r="AF262">
        <v>12.5666</v>
      </c>
      <c r="AG262">
        <v>32.686</v>
      </c>
      <c r="AH262">
        <v>149.4333</v>
      </c>
      <c r="AI262" s="61">
        <f t="shared" si="41"/>
        <v>-0.10853681029468107</v>
      </c>
      <c r="AJ262" s="61">
        <f t="shared" si="42"/>
        <v>0.04468834497791469</v>
      </c>
      <c r="AK262" s="61">
        <f t="shared" si="43"/>
        <v>0.03275609097009749</v>
      </c>
      <c r="AL262" s="61">
        <f t="shared" si="44"/>
        <v>-0.03311745805916491</v>
      </c>
      <c r="AM262" s="65">
        <v>0.028985507246376708</v>
      </c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</row>
    <row r="263" spans="3:59" ht="15" hidden="1">
      <c r="C263" s="54">
        <f t="shared" si="24"/>
        <v>0.04862592472472223</v>
      </c>
      <c r="D263" s="64">
        <f t="shared" si="25"/>
        <v>0.01730103806228374</v>
      </c>
      <c r="E263" s="54">
        <f t="shared" si="26"/>
        <v>0.16792948505021343</v>
      </c>
      <c r="F263" s="54">
        <f t="shared" si="27"/>
        <v>0.0486486486486487</v>
      </c>
      <c r="G263" s="41">
        <f t="shared" si="46"/>
        <v>0.07</v>
      </c>
      <c r="H263" s="44">
        <f t="shared" si="47"/>
        <v>0.05</v>
      </c>
      <c r="I263" s="8">
        <f t="shared" si="36"/>
        <v>0.3169187498102979</v>
      </c>
      <c r="J263" s="69">
        <f t="shared" si="37"/>
        <v>0.16792948505021343</v>
      </c>
      <c r="K263" s="69">
        <f t="shared" si="38"/>
        <v>0.0486486486486487</v>
      </c>
      <c r="L263" s="45">
        <f t="shared" si="39"/>
        <v>1.7788461538461537</v>
      </c>
      <c r="M263" s="36">
        <v>81</v>
      </c>
      <c r="N263" s="46">
        <v>17.9</v>
      </c>
      <c r="O263" s="36">
        <f t="shared" si="45"/>
        <v>71</v>
      </c>
      <c r="P263" s="47">
        <f t="shared" si="21"/>
        <v>9072.115384615385</v>
      </c>
      <c r="Q263" s="48">
        <f t="shared" si="40"/>
        <v>3446.644331830141</v>
      </c>
      <c r="R263" s="47">
        <f t="shared" si="28"/>
        <v>107076.35682501021</v>
      </c>
      <c r="S263" s="49">
        <f t="shared" si="29"/>
        <v>-1036.9398945893663</v>
      </c>
      <c r="T263" s="40">
        <f t="shared" si="30"/>
        <v>106039.41693042085</v>
      </c>
      <c r="U263" s="37"/>
      <c r="V263" s="36"/>
      <c r="W263" s="36">
        <f t="shared" si="31"/>
        <v>71</v>
      </c>
      <c r="X263" s="47">
        <f t="shared" si="22"/>
        <v>9072.115384615385</v>
      </c>
      <c r="Y263" s="47">
        <f t="shared" si="32"/>
        <v>4962.405577336162</v>
      </c>
      <c r="Z263" s="47">
        <f t="shared" si="33"/>
        <v>11932.934753597552</v>
      </c>
      <c r="AA263" s="48">
        <f t="shared" si="34"/>
        <v>131503.7477994083</v>
      </c>
      <c r="AB263" s="49">
        <f t="shared" si="35"/>
        <v>6417.124532163318</v>
      </c>
      <c r="AC263" s="40">
        <f t="shared" si="23"/>
        <v>96244.86898361443</v>
      </c>
      <c r="AD263" s="37"/>
      <c r="AE263" s="55">
        <v>1958</v>
      </c>
      <c r="AF263">
        <v>18.0135</v>
      </c>
      <c r="AG263">
        <v>32.9634</v>
      </c>
      <c r="AH263">
        <v>151.9932</v>
      </c>
      <c r="AI263" s="61">
        <f t="shared" si="41"/>
        <v>0.4334426177327202</v>
      </c>
      <c r="AJ263" s="61">
        <f t="shared" si="42"/>
        <v>0.008486813926451694</v>
      </c>
      <c r="AK263" s="61">
        <f t="shared" si="43"/>
        <v>0.017130719859629672</v>
      </c>
      <c r="AL263" s="61">
        <f t="shared" si="44"/>
        <v>0.22182910642290374</v>
      </c>
      <c r="AM263" s="65">
        <v>0.017605633802816902</v>
      </c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</row>
    <row r="264" spans="3:59" ht="15" hidden="1">
      <c r="C264" s="54">
        <f t="shared" si="24"/>
        <v>0.017118370228505077</v>
      </c>
      <c r="D264" s="64">
        <f t="shared" si="25"/>
        <v>0.01360544217687082</v>
      </c>
      <c r="E264" s="54">
        <f t="shared" si="26"/>
        <v>-0.023288497192447313</v>
      </c>
      <c r="F264" s="54">
        <f t="shared" si="27"/>
        <v>0.06701030927835049</v>
      </c>
      <c r="G264" s="41">
        <f t="shared" si="46"/>
        <v>0.07</v>
      </c>
      <c r="H264" s="44">
        <f t="shared" si="47"/>
        <v>0.05</v>
      </c>
      <c r="I264" s="8">
        <f t="shared" si="36"/>
        <v>0.3185033435593493</v>
      </c>
      <c r="J264" s="69">
        <f t="shared" si="37"/>
        <v>-0.023288497192447313</v>
      </c>
      <c r="K264" s="69">
        <f t="shared" si="38"/>
        <v>0.06701030927835049</v>
      </c>
      <c r="L264" s="45">
        <f t="shared" si="39"/>
        <v>1.8653846153846152</v>
      </c>
      <c r="M264" s="36">
        <v>82</v>
      </c>
      <c r="N264" s="46">
        <v>17.1</v>
      </c>
      <c r="O264" s="36">
        <f t="shared" si="45"/>
        <v>72</v>
      </c>
      <c r="P264" s="47">
        <f t="shared" si="21"/>
        <v>9513.461538461537</v>
      </c>
      <c r="Q264" s="48">
        <f t="shared" si="40"/>
        <v>1036.9398945893663</v>
      </c>
      <c r="R264" s="47">
        <f t="shared" si="28"/>
        <v>121321.59335195919</v>
      </c>
      <c r="S264" s="49">
        <f t="shared" si="29"/>
        <v>-7104.005223061874</v>
      </c>
      <c r="T264" s="40">
        <f t="shared" si="30"/>
        <v>114217.58812889732</v>
      </c>
      <c r="U264" s="37"/>
      <c r="V264" s="36"/>
      <c r="W264" s="36">
        <f t="shared" si="31"/>
        <v>72</v>
      </c>
      <c r="X264" s="47">
        <f t="shared" si="22"/>
        <v>9513.461538461537</v>
      </c>
      <c r="Y264" s="47">
        <f t="shared" si="32"/>
        <v>5284.107469446932</v>
      </c>
      <c r="Z264" s="47">
        <f t="shared" si="33"/>
        <v>0</v>
      </c>
      <c r="AA264" s="48">
        <f t="shared" si="34"/>
        <v>135273.15121784146</v>
      </c>
      <c r="AB264" s="49">
        <f t="shared" si="35"/>
        <v>10329.755642357268</v>
      </c>
      <c r="AC264" s="40">
        <f t="shared" si="23"/>
        <v>102517.95590350677</v>
      </c>
      <c r="AD264" s="37"/>
      <c r="AE264" s="55">
        <v>1959</v>
      </c>
      <c r="AF264">
        <v>20.1579</v>
      </c>
      <c r="AG264">
        <v>33.0151</v>
      </c>
      <c r="AH264">
        <v>157.2773</v>
      </c>
      <c r="AI264" s="61">
        <f t="shared" si="41"/>
        <v>0.11904405029561167</v>
      </c>
      <c r="AJ264" s="61">
        <f t="shared" si="42"/>
        <v>0.0015684061716933553</v>
      </c>
      <c r="AK264" s="61">
        <f t="shared" si="43"/>
        <v>0.034765371082390494</v>
      </c>
      <c r="AL264" s="61">
        <f t="shared" si="44"/>
        <v>0.06362592472472223</v>
      </c>
      <c r="AM264" s="65">
        <v>0.01730103806228374</v>
      </c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</row>
    <row r="265" spans="3:59" ht="15" hidden="1">
      <c r="C265" s="54">
        <f t="shared" si="24"/>
        <v>0.13618031010954923</v>
      </c>
      <c r="D265" s="64">
        <f t="shared" si="25"/>
        <v>0.00671140939597313</v>
      </c>
      <c r="E265" s="54">
        <f t="shared" si="26"/>
        <v>0.032827298471134955</v>
      </c>
      <c r="F265" s="54">
        <f t="shared" si="27"/>
        <v>0.09017713365539455</v>
      </c>
      <c r="G265" s="41">
        <f t="shared" si="46"/>
        <v>0.07</v>
      </c>
      <c r="H265" s="44">
        <f t="shared" si="47"/>
        <v>0.05</v>
      </c>
      <c r="I265" s="8">
        <f t="shared" si="36"/>
        <v>0.320095860277146</v>
      </c>
      <c r="J265" s="69">
        <f t="shared" si="37"/>
        <v>0.032827298471134955</v>
      </c>
      <c r="K265" s="69">
        <f t="shared" si="38"/>
        <v>0.09017713365539455</v>
      </c>
      <c r="L265" s="45">
        <f t="shared" si="39"/>
        <v>1.9903846153846152</v>
      </c>
      <c r="M265" s="36">
        <v>83</v>
      </c>
      <c r="N265" s="46">
        <v>16.3</v>
      </c>
      <c r="O265" s="36">
        <f t="shared" si="45"/>
        <v>73</v>
      </c>
      <c r="P265" s="47">
        <f t="shared" si="21"/>
        <v>10150.961538461537</v>
      </c>
      <c r="Q265" s="48">
        <f t="shared" si="40"/>
        <v>7104.005223061874</v>
      </c>
      <c r="R265" s="47">
        <f t="shared" si="28"/>
        <v>117471.33025712143</v>
      </c>
      <c r="S265" s="49">
        <f t="shared" si="29"/>
        <v>-15400.513388577327</v>
      </c>
      <c r="T265" s="40">
        <f t="shared" si="30"/>
        <v>102070.8168685441</v>
      </c>
      <c r="U265" s="37"/>
      <c r="V265" s="36"/>
      <c r="W265" s="36">
        <f t="shared" si="31"/>
        <v>73</v>
      </c>
      <c r="X265" s="47">
        <f t="shared" si="22"/>
        <v>10150.961538461537</v>
      </c>
      <c r="Y265" s="47">
        <f t="shared" si="32"/>
        <v>5137.662542794645</v>
      </c>
      <c r="Z265" s="47">
        <f t="shared" si="33"/>
        <v>13384.076728803891</v>
      </c>
      <c r="AA265" s="48">
        <f t="shared" si="34"/>
        <v>126900.26480702772</v>
      </c>
      <c r="AB265" s="49">
        <f t="shared" si="35"/>
        <v>4467.334451767969</v>
      </c>
      <c r="AC265" s="40">
        <f t="shared" si="23"/>
        <v>90747.34982599251</v>
      </c>
      <c r="AD265" s="37"/>
      <c r="AE265" s="55">
        <v>1960</v>
      </c>
      <c r="AF265">
        <v>20.2553</v>
      </c>
      <c r="AG265">
        <v>35.2345</v>
      </c>
      <c r="AH265">
        <v>161.7014</v>
      </c>
      <c r="AI265" s="61">
        <f t="shared" si="41"/>
        <v>0.004831852524320332</v>
      </c>
      <c r="AJ265" s="61">
        <f t="shared" si="42"/>
        <v>0.06722378547997736</v>
      </c>
      <c r="AK265" s="61">
        <f t="shared" si="43"/>
        <v>0.028129297743539658</v>
      </c>
      <c r="AL265" s="61">
        <f t="shared" si="44"/>
        <v>0.032118370228505076</v>
      </c>
      <c r="AM265" s="65">
        <v>0.01360544217687082</v>
      </c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</row>
    <row r="266" spans="3:59" ht="15" hidden="1">
      <c r="C266" s="54">
        <f t="shared" si="24"/>
        <v>-0.031283437323115164</v>
      </c>
      <c r="D266" s="64">
        <f t="shared" si="25"/>
        <v>0.013333333333333286</v>
      </c>
      <c r="E266" s="54">
        <f t="shared" si="26"/>
        <v>0.08237892266799905</v>
      </c>
      <c r="F266" s="54">
        <f t="shared" si="27"/>
        <v>0.1329394387001477</v>
      </c>
      <c r="G266" s="41">
        <f t="shared" si="46"/>
        <v>0.07</v>
      </c>
      <c r="H266" s="44">
        <f t="shared" si="47"/>
        <v>0.05</v>
      </c>
      <c r="I266" s="8">
        <f t="shared" si="36"/>
        <v>0.32169633957853166</v>
      </c>
      <c r="J266" s="69">
        <f t="shared" si="37"/>
        <v>0.08237892266799905</v>
      </c>
      <c r="K266" s="69">
        <f t="shared" si="38"/>
        <v>0.1329394387001477</v>
      </c>
      <c r="L266" s="45">
        <f t="shared" si="39"/>
        <v>2.1698717948717947</v>
      </c>
      <c r="M266" s="36">
        <v>84</v>
      </c>
      <c r="N266" s="46">
        <v>15.5</v>
      </c>
      <c r="O266" s="36">
        <f t="shared" si="45"/>
        <v>74</v>
      </c>
      <c r="P266" s="47">
        <f t="shared" si="21"/>
        <v>11066.346153846152</v>
      </c>
      <c r="Q266" s="48">
        <f t="shared" si="40"/>
        <v>15400.513388577327</v>
      </c>
      <c r="R266" s="47">
        <f t="shared" si="28"/>
        <v>114106.98880431238</v>
      </c>
      <c r="S266" s="49">
        <f t="shared" si="29"/>
        <v>-18825.203313818743</v>
      </c>
      <c r="T266" s="40">
        <f t="shared" si="30"/>
        <v>95281.78549049364</v>
      </c>
      <c r="U266" s="37"/>
      <c r="V266" s="36"/>
      <c r="W266" s="36">
        <f t="shared" si="31"/>
        <v>74</v>
      </c>
      <c r="X266" s="47">
        <f t="shared" si="22"/>
        <v>11066.346153846152</v>
      </c>
      <c r="Y266" s="47">
        <f t="shared" si="32"/>
        <v>4715.979372801633</v>
      </c>
      <c r="Z266" s="47">
        <f t="shared" si="33"/>
        <v>14608.637746086222</v>
      </c>
      <c r="AA266" s="48">
        <f t="shared" si="34"/>
        <v>112240.30907267887</v>
      </c>
      <c r="AB266" s="49">
        <f t="shared" si="35"/>
        <v>7635.830430762523</v>
      </c>
      <c r="AC266" s="40">
        <f t="shared" si="23"/>
        <v>83768.84292159753</v>
      </c>
      <c r="AD266" s="37"/>
      <c r="AE266" s="55">
        <v>1961</v>
      </c>
      <c r="AF266">
        <v>25.686</v>
      </c>
      <c r="AG266">
        <v>36.5314</v>
      </c>
      <c r="AH266">
        <v>165.5838</v>
      </c>
      <c r="AI266" s="61">
        <f t="shared" si="41"/>
        <v>0.2681125433837071</v>
      </c>
      <c r="AJ266" s="61">
        <f t="shared" si="42"/>
        <v>0.0368076742964992</v>
      </c>
      <c r="AK266" s="61">
        <f t="shared" si="43"/>
        <v>0.024009686990959817</v>
      </c>
      <c r="AL266" s="61">
        <f t="shared" si="44"/>
        <v>0.15118031010954922</v>
      </c>
      <c r="AM266" s="65">
        <v>0.00671140939597313</v>
      </c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</row>
    <row r="267" spans="3:59" ht="15" hidden="1">
      <c r="C267" s="54">
        <f t="shared" si="24"/>
        <v>0.11435322967947754</v>
      </c>
      <c r="D267" s="64">
        <f t="shared" si="25"/>
        <v>0.01644736842105263</v>
      </c>
      <c r="E267" s="54">
        <f t="shared" si="26"/>
        <v>0.1397165902717712</v>
      </c>
      <c r="F267" s="54">
        <f t="shared" si="27"/>
        <v>0.12516297262059967</v>
      </c>
      <c r="G267" s="41">
        <f t="shared" si="46"/>
        <v>0.07</v>
      </c>
      <c r="H267" s="44">
        <f t="shared" si="47"/>
        <v>0.05</v>
      </c>
      <c r="I267" s="8">
        <f t="shared" si="36"/>
        <v>0.32330482127642424</v>
      </c>
      <c r="J267" s="69">
        <f t="shared" si="37"/>
        <v>0.1397165902717712</v>
      </c>
      <c r="K267" s="69">
        <f t="shared" si="38"/>
        <v>0.12516297262059967</v>
      </c>
      <c r="L267" s="45">
        <f t="shared" si="39"/>
        <v>2.458333333333333</v>
      </c>
      <c r="M267" s="36">
        <v>85</v>
      </c>
      <c r="N267" s="46">
        <v>14.8</v>
      </c>
      <c r="O267" s="36">
        <f t="shared" si="45"/>
        <v>75</v>
      </c>
      <c r="P267" s="47">
        <f t="shared" si="21"/>
        <v>12537.499999999998</v>
      </c>
      <c r="Q267" s="48">
        <f t="shared" si="40"/>
        <v>18825.203313818743</v>
      </c>
      <c r="R267" s="47">
        <f t="shared" si="28"/>
        <v>107472.14737158117</v>
      </c>
      <c r="S267" s="49">
        <f t="shared" si="29"/>
        <v>-15421.8572385835</v>
      </c>
      <c r="T267" s="40">
        <f t="shared" si="30"/>
        <v>92050.29013299767</v>
      </c>
      <c r="U267" s="37"/>
      <c r="V267" s="36"/>
      <c r="W267" s="36">
        <f t="shared" si="31"/>
        <v>75</v>
      </c>
      <c r="X267" s="47">
        <f t="shared" si="22"/>
        <v>12537.499999999998</v>
      </c>
      <c r="Y267" s="47">
        <f t="shared" si="32"/>
        <v>4426.461009847543</v>
      </c>
      <c r="Z267" s="47">
        <f t="shared" si="33"/>
        <v>16570.76785746584</v>
      </c>
      <c r="AA267" s="48">
        <f t="shared" si="34"/>
        <v>101365.95712550874</v>
      </c>
      <c r="AB267" s="49">
        <f t="shared" si="35"/>
        <v>10800.192252892226</v>
      </c>
      <c r="AC267" s="40">
        <f t="shared" si="23"/>
        <v>79394.04672642468</v>
      </c>
      <c r="AD267" s="37"/>
      <c r="AE267" s="55">
        <v>1962</v>
      </c>
      <c r="AF267">
        <v>23.4297</v>
      </c>
      <c r="AG267">
        <v>38.7977</v>
      </c>
      <c r="AH267">
        <v>170.2575</v>
      </c>
      <c r="AI267" s="61">
        <f t="shared" si="41"/>
        <v>-0.08784162578836718</v>
      </c>
      <c r="AJ267" s="61">
        <f t="shared" si="42"/>
        <v>0.06203704210624288</v>
      </c>
      <c r="AK267" s="61">
        <f t="shared" si="43"/>
        <v>0.028225587285712714</v>
      </c>
      <c r="AL267" s="61">
        <f t="shared" si="44"/>
        <v>-0.016283437323115164</v>
      </c>
      <c r="AM267" s="65">
        <v>0.013333333333333286</v>
      </c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</row>
    <row r="268" spans="3:59" ht="15" hidden="1">
      <c r="C268" s="54">
        <f t="shared" si="24"/>
        <v>0.08635613101504146</v>
      </c>
      <c r="D268" s="64">
        <f t="shared" si="25"/>
        <v>0.009708737864077693</v>
      </c>
      <c r="E268" s="54">
        <f t="shared" si="26"/>
        <v>0.010887495182382991</v>
      </c>
      <c r="F268" s="54">
        <f t="shared" si="27"/>
        <v>0.08922363847045195</v>
      </c>
      <c r="G268" s="41">
        <f t="shared" si="46"/>
        <v>0.07</v>
      </c>
      <c r="H268" s="44">
        <f t="shared" si="47"/>
        <v>0.05</v>
      </c>
      <c r="I268" s="8">
        <f t="shared" si="36"/>
        <v>0.3249213453828063</v>
      </c>
      <c r="J268" s="69">
        <f t="shared" si="37"/>
        <v>0.010887495182382991</v>
      </c>
      <c r="K268" s="69">
        <f t="shared" si="38"/>
        <v>0.08922363847045195</v>
      </c>
      <c r="L268" s="45">
        <f t="shared" si="39"/>
        <v>2.7660256410256405</v>
      </c>
      <c r="M268" s="36">
        <v>86</v>
      </c>
      <c r="N268" s="46">
        <v>14.1</v>
      </c>
      <c r="O268" s="36">
        <f t="shared" si="45"/>
        <v>76</v>
      </c>
      <c r="P268" s="47">
        <f t="shared" si="21"/>
        <v>14106.730769230766</v>
      </c>
      <c r="Q268" s="48">
        <f t="shared" si="40"/>
        <v>15421.8572385835</v>
      </c>
      <c r="R268" s="47">
        <f t="shared" si="28"/>
        <v>102347.48942861524</v>
      </c>
      <c r="S268" s="49">
        <f t="shared" si="29"/>
        <v>-10294.984629743265</v>
      </c>
      <c r="T268" s="40">
        <f t="shared" si="30"/>
        <v>92052.50479887197</v>
      </c>
      <c r="U268" s="37"/>
      <c r="V268" s="36"/>
      <c r="W268" s="36">
        <f t="shared" si="31"/>
        <v>76</v>
      </c>
      <c r="X268" s="47">
        <f t="shared" si="22"/>
        <v>14106.730769230766</v>
      </c>
      <c r="Y268" s="47">
        <f t="shared" si="32"/>
        <v>4230.2001611889755</v>
      </c>
      <c r="Z268" s="47">
        <f t="shared" si="33"/>
        <v>0</v>
      </c>
      <c r="AA268" s="48">
        <f t="shared" si="34"/>
        <v>93064.40354615747</v>
      </c>
      <c r="AB268" s="49">
        <f t="shared" si="35"/>
        <v>14282.470882625785</v>
      </c>
      <c r="AC268" s="40">
        <f t="shared" si="23"/>
        <v>77108.26322131735</v>
      </c>
      <c r="AD268" s="37"/>
      <c r="AE268" s="55">
        <v>1963</v>
      </c>
      <c r="AF268">
        <v>28.7463</v>
      </c>
      <c r="AG268">
        <v>40.0265</v>
      </c>
      <c r="AH268">
        <v>175.7498</v>
      </c>
      <c r="AI268" s="61">
        <f t="shared" si="41"/>
        <v>0.22691711801687606</v>
      </c>
      <c r="AJ268" s="61">
        <f t="shared" si="42"/>
        <v>0.03167198055554839</v>
      </c>
      <c r="AK268" s="61">
        <f t="shared" si="43"/>
        <v>0.0322587844882017</v>
      </c>
      <c r="AL268" s="61">
        <f t="shared" si="44"/>
        <v>0.12935322967947754</v>
      </c>
      <c r="AM268" s="65">
        <v>0.01644736842105263</v>
      </c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</row>
    <row r="269" spans="3:59" ht="15" hidden="1">
      <c r="C269" s="54">
        <f t="shared" si="24"/>
        <v>0.059164388104788745</v>
      </c>
      <c r="D269" s="64">
        <f t="shared" si="25"/>
        <v>0.019230769230769277</v>
      </c>
      <c r="E269" s="54">
        <f t="shared" si="26"/>
        <v>0.2432651487920664</v>
      </c>
      <c r="F269" s="54">
        <f t="shared" si="27"/>
        <v>0.03829787234042547</v>
      </c>
      <c r="G269" s="41">
        <f t="shared" si="46"/>
        <v>0.07</v>
      </c>
      <c r="H269" s="44">
        <f t="shared" si="47"/>
        <v>0.05</v>
      </c>
      <c r="I269" s="8">
        <f t="shared" si="36"/>
        <v>0.32654595210972037</v>
      </c>
      <c r="J269" s="69">
        <f t="shared" si="37"/>
        <v>0.2432651487920664</v>
      </c>
      <c r="K269" s="69">
        <f t="shared" si="38"/>
        <v>0.03829787234042547</v>
      </c>
      <c r="L269" s="45">
        <f t="shared" si="39"/>
        <v>3.0128205128205123</v>
      </c>
      <c r="M269" s="36">
        <v>87</v>
      </c>
      <c r="N269" s="46">
        <v>13.4</v>
      </c>
      <c r="O269" s="36">
        <f t="shared" si="45"/>
        <v>77</v>
      </c>
      <c r="P269" s="47">
        <f t="shared" si="21"/>
        <v>15365.384615384613</v>
      </c>
      <c r="Q269" s="48">
        <f t="shared" si="40"/>
        <v>10294.984629743265</v>
      </c>
      <c r="R269" s="47">
        <f t="shared" si="28"/>
        <v>87955.98728992054</v>
      </c>
      <c r="S269" s="49">
        <f t="shared" si="29"/>
        <v>-9050.692394244696</v>
      </c>
      <c r="T269" s="40">
        <f t="shared" si="30"/>
        <v>78905.29489567585</v>
      </c>
      <c r="U269" s="37"/>
      <c r="V269" s="36"/>
      <c r="W269" s="36">
        <f t="shared" si="31"/>
        <v>77</v>
      </c>
      <c r="X269" s="47">
        <f t="shared" si="22"/>
        <v>15365.384615384613</v>
      </c>
      <c r="Y269" s="47">
        <f t="shared" si="32"/>
        <v>4237.000636240136</v>
      </c>
      <c r="Z269" s="47">
        <f t="shared" si="33"/>
        <v>20357.926056939657</v>
      </c>
      <c r="AA269" s="48">
        <f t="shared" si="34"/>
        <v>89824.41348829088</v>
      </c>
      <c r="AB269" s="49">
        <f t="shared" si="35"/>
        <v>3233.0392539880763</v>
      </c>
      <c r="AC269" s="40">
        <f t="shared" si="23"/>
        <v>63725.65411704781</v>
      </c>
      <c r="AD269" s="37"/>
      <c r="AE269" s="55">
        <v>1964</v>
      </c>
      <c r="AF269">
        <v>33.4484</v>
      </c>
      <c r="AG269">
        <v>41.6226</v>
      </c>
      <c r="AH269">
        <v>182.1111</v>
      </c>
      <c r="AI269" s="61">
        <f t="shared" si="41"/>
        <v>0.16357235539878168</v>
      </c>
      <c r="AJ269" s="61">
        <f t="shared" si="42"/>
        <v>0.03987608209561166</v>
      </c>
      <c r="AK269" s="61">
        <f t="shared" si="43"/>
        <v>0.036195204774059485</v>
      </c>
      <c r="AL269" s="61">
        <f t="shared" si="44"/>
        <v>0.10135613101504146</v>
      </c>
      <c r="AM269" s="65">
        <v>0.009708737864077693</v>
      </c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</row>
    <row r="270" spans="3:59" ht="15" hidden="1">
      <c r="C270" s="54">
        <f t="shared" si="24"/>
        <v>-0.06159847242710513</v>
      </c>
      <c r="D270" s="64">
        <f t="shared" si="25"/>
        <v>0.03459119496855339</v>
      </c>
      <c r="E270" s="54">
        <f t="shared" si="26"/>
        <v>0.1360357934137421</v>
      </c>
      <c r="F270" s="54">
        <f t="shared" si="27"/>
        <v>0.0379098360655738</v>
      </c>
      <c r="G270" s="41">
        <f t="shared" si="46"/>
        <v>0.07</v>
      </c>
      <c r="H270" s="44">
        <f t="shared" si="47"/>
        <v>0.05</v>
      </c>
      <c r="I270" s="8">
        <f t="shared" si="36"/>
        <v>0.32817868187026883</v>
      </c>
      <c r="J270" s="69">
        <f t="shared" si="37"/>
        <v>0.1360357934137421</v>
      </c>
      <c r="K270" s="69">
        <f t="shared" si="38"/>
        <v>0.0379098360655738</v>
      </c>
      <c r="L270" s="45">
        <f t="shared" si="39"/>
        <v>3.1282051282051277</v>
      </c>
      <c r="M270" s="36">
        <v>88</v>
      </c>
      <c r="N270" s="46">
        <v>12.7</v>
      </c>
      <c r="O270" s="36">
        <f t="shared" si="45"/>
        <v>78</v>
      </c>
      <c r="P270" s="47">
        <f t="shared" si="21"/>
        <v>15953.84615384615</v>
      </c>
      <c r="Q270" s="48">
        <f t="shared" si="40"/>
        <v>9050.692394244696</v>
      </c>
      <c r="R270" s="47">
        <f t="shared" si="28"/>
        <v>97805.42351152962</v>
      </c>
      <c r="S270" s="49">
        <f t="shared" si="29"/>
        <v>-16019.18478960665</v>
      </c>
      <c r="T270" s="40">
        <f t="shared" si="30"/>
        <v>81786.23872192297</v>
      </c>
      <c r="U270" s="37"/>
      <c r="V270" s="36"/>
      <c r="W270" s="36">
        <f t="shared" si="31"/>
        <v>78</v>
      </c>
      <c r="X270" s="47">
        <f t="shared" si="22"/>
        <v>15953.84615384615</v>
      </c>
      <c r="Y270" s="47">
        <f t="shared" si="32"/>
        <v>4142.319795897885</v>
      </c>
      <c r="Z270" s="47">
        <f t="shared" si="33"/>
        <v>21163.51003596584</v>
      </c>
      <c r="AA270" s="48">
        <f t="shared" si="34"/>
        <v>84089.09185672707</v>
      </c>
      <c r="AB270" s="49">
        <f t="shared" si="35"/>
        <v>5927.9418361329335</v>
      </c>
      <c r="AC270" s="40">
        <f t="shared" si="23"/>
        <v>62420.786367651366</v>
      </c>
      <c r="AD270" s="37"/>
      <c r="AE270" s="55">
        <v>1965</v>
      </c>
      <c r="AF270">
        <v>37.5813</v>
      </c>
      <c r="AG270">
        <v>42.4892</v>
      </c>
      <c r="AH270">
        <v>189.4975</v>
      </c>
      <c r="AI270" s="61">
        <f t="shared" si="41"/>
        <v>0.12356046926011408</v>
      </c>
      <c r="AJ270" s="61">
        <f t="shared" si="42"/>
        <v>0.020820419675849137</v>
      </c>
      <c r="AK270" s="61">
        <f t="shared" si="43"/>
        <v>0.04055985604392049</v>
      </c>
      <c r="AL270" s="61">
        <f t="shared" si="44"/>
        <v>0.07416438810478874</v>
      </c>
      <c r="AM270" s="65">
        <v>0.019230769230769277</v>
      </c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</row>
    <row r="271" spans="3:59" ht="15" hidden="1">
      <c r="C271" s="54">
        <f t="shared" si="24"/>
        <v>0.10445413437899188</v>
      </c>
      <c r="D271" s="64">
        <f t="shared" si="25"/>
        <v>0.030395136778115502</v>
      </c>
      <c r="E271" s="54">
        <f t="shared" si="26"/>
        <v>0.09467791085794978</v>
      </c>
      <c r="F271" s="54">
        <f t="shared" si="27"/>
        <v>0.039486673247778874</v>
      </c>
      <c r="G271" s="41">
        <f t="shared" si="46"/>
        <v>0.07</v>
      </c>
      <c r="H271" s="44">
        <f t="shared" si="47"/>
        <v>0.05</v>
      </c>
      <c r="I271" s="8">
        <f t="shared" si="36"/>
        <v>0.3298195752796202</v>
      </c>
      <c r="J271" s="69">
        <f t="shared" si="37"/>
        <v>0.09467791085794978</v>
      </c>
      <c r="K271" s="69">
        <f t="shared" si="38"/>
        <v>0.039486673247778874</v>
      </c>
      <c r="L271" s="45">
        <f t="shared" si="39"/>
        <v>3.2467948717948714</v>
      </c>
      <c r="M271" s="36">
        <v>89</v>
      </c>
      <c r="N271" s="46">
        <v>12</v>
      </c>
      <c r="O271" s="36">
        <f t="shared" si="45"/>
        <v>79</v>
      </c>
      <c r="P271" s="47">
        <f t="shared" si="21"/>
        <v>16558.653846153844</v>
      </c>
      <c r="Q271" s="48">
        <f t="shared" si="40"/>
        <v>16019.18478960665</v>
      </c>
      <c r="R271" s="47">
        <f t="shared" si="28"/>
        <v>101444.16044444553</v>
      </c>
      <c r="S271" s="49">
        <f t="shared" si="29"/>
        <v>-24701.805454982692</v>
      </c>
      <c r="T271" s="40">
        <f t="shared" si="30"/>
        <v>76742.35498946284</v>
      </c>
      <c r="U271" s="37"/>
      <c r="V271" s="36"/>
      <c r="W271" s="36">
        <f t="shared" si="31"/>
        <v>79</v>
      </c>
      <c r="X271" s="47">
        <f t="shared" si="22"/>
        <v>16558.653846153844</v>
      </c>
      <c r="Y271" s="47">
        <f t="shared" si="32"/>
        <v>3512.878924792252</v>
      </c>
      <c r="Z271" s="47">
        <f t="shared" si="33"/>
        <v>21992.85103893067</v>
      </c>
      <c r="AA271" s="48">
        <f t="shared" si="34"/>
        <v>68501.13903344891</v>
      </c>
      <c r="AB271" s="49">
        <f t="shared" si="35"/>
        <v>8433.140066671738</v>
      </c>
      <c r="AC271" s="40">
        <f t="shared" si="23"/>
        <v>54341.26251793831</v>
      </c>
      <c r="AD271" s="37"/>
      <c r="AE271" s="55">
        <v>1966</v>
      </c>
      <c r="AF271">
        <v>33.7839</v>
      </c>
      <c r="AG271">
        <v>42.3809</v>
      </c>
      <c r="AH271">
        <v>198.8654</v>
      </c>
      <c r="AI271" s="61">
        <f t="shared" si="41"/>
        <v>-0.1010449345818265</v>
      </c>
      <c r="AJ271" s="61">
        <f t="shared" si="42"/>
        <v>-0.002548883010270842</v>
      </c>
      <c r="AK271" s="61">
        <f t="shared" si="43"/>
        <v>0.04943548067916459</v>
      </c>
      <c r="AL271" s="61">
        <f t="shared" si="44"/>
        <v>-0.04659847242710513</v>
      </c>
      <c r="AM271" s="65">
        <v>0.03459119496855339</v>
      </c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</row>
    <row r="272" spans="3:59" ht="15" hidden="1">
      <c r="C272" s="54">
        <f t="shared" si="24"/>
        <v>0.13533354733720004</v>
      </c>
      <c r="D272" s="64">
        <f t="shared" si="25"/>
        <v>0.04719764011799414</v>
      </c>
      <c r="E272" s="54">
        <f t="shared" si="26"/>
        <v>0.26928964509186937</v>
      </c>
      <c r="F272" s="54">
        <f t="shared" si="27"/>
        <v>0.03798670465337132</v>
      </c>
      <c r="G272" s="41">
        <f t="shared" si="46"/>
        <v>0.07</v>
      </c>
      <c r="H272" s="44">
        <f t="shared" si="47"/>
        <v>0.05</v>
      </c>
      <c r="I272" s="8">
        <f t="shared" si="36"/>
        <v>0.33146867315601825</v>
      </c>
      <c r="J272" s="69">
        <f t="shared" si="37"/>
        <v>0.26928964509186937</v>
      </c>
      <c r="K272" s="69">
        <f t="shared" si="38"/>
        <v>0.03798670465337132</v>
      </c>
      <c r="L272" s="45">
        <f t="shared" si="39"/>
        <v>3.374999999999999</v>
      </c>
      <c r="M272" s="36">
        <v>90</v>
      </c>
      <c r="N272" s="46">
        <v>11.4</v>
      </c>
      <c r="O272" s="36">
        <f t="shared" si="45"/>
        <v>80</v>
      </c>
      <c r="P272" s="47">
        <f t="shared" si="21"/>
        <v>17212.499999999996</v>
      </c>
      <c r="Q272" s="48">
        <f t="shared" si="40"/>
        <v>24701.805454982692</v>
      </c>
      <c r="R272" s="47">
        <f t="shared" si="28"/>
        <v>94271.16535969394</v>
      </c>
      <c r="S272" s="49">
        <f t="shared" si="29"/>
        <v>-26825.750749727704</v>
      </c>
      <c r="T272" s="40">
        <f t="shared" si="30"/>
        <v>67445.41460996625</v>
      </c>
      <c r="U272" s="37"/>
      <c r="V272" s="36"/>
      <c r="W272" s="36">
        <f t="shared" si="31"/>
        <v>80</v>
      </c>
      <c r="X272" s="47">
        <f t="shared" si="22"/>
        <v>17212.499999999996</v>
      </c>
      <c r="Y272" s="47">
        <f t="shared" si="32"/>
        <v>2581.4726840035687</v>
      </c>
      <c r="Z272" s="47">
        <f t="shared" si="33"/>
        <v>22889.51943950046</v>
      </c>
      <c r="AA272" s="48">
        <f t="shared" si="34"/>
        <v>48273.53919086674</v>
      </c>
      <c r="AB272" s="49">
        <f t="shared" si="35"/>
        <v>10387.904605466885</v>
      </c>
      <c r="AC272" s="40">
        <f t="shared" si="23"/>
        <v>42660.27781219198</v>
      </c>
      <c r="AD272" s="37"/>
      <c r="AE272" s="55">
        <v>1967</v>
      </c>
      <c r="AF272">
        <v>41.8725</v>
      </c>
      <c r="AG272">
        <v>41.8882</v>
      </c>
      <c r="AH272">
        <v>207.6025</v>
      </c>
      <c r="AI272" s="61">
        <f t="shared" si="41"/>
        <v>0.23942173638922679</v>
      </c>
      <c r="AJ272" s="61">
        <f t="shared" si="42"/>
        <v>-0.01162551998659772</v>
      </c>
      <c r="AK272" s="61">
        <f t="shared" si="43"/>
        <v>0.04393474179017566</v>
      </c>
      <c r="AL272" s="61">
        <f t="shared" si="44"/>
        <v>0.11945413437899188</v>
      </c>
      <c r="AM272" s="65">
        <v>0.030395136778115502</v>
      </c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</row>
    <row r="273" spans="3:59" ht="15" hidden="1">
      <c r="C273" s="54">
        <f t="shared" si="24"/>
        <v>-0.06026575842155586</v>
      </c>
      <c r="D273" s="64">
        <f t="shared" si="25"/>
        <v>0.06197183098591557</v>
      </c>
      <c r="E273" s="54">
        <f t="shared" si="26"/>
        <v>0.1680686900215903</v>
      </c>
      <c r="F273" s="54">
        <f t="shared" si="27"/>
        <v>0.010978956999085113</v>
      </c>
      <c r="G273" s="41">
        <f t="shared" si="46"/>
        <v>0.07</v>
      </c>
      <c r="H273" s="44">
        <f t="shared" si="47"/>
        <v>0.05</v>
      </c>
      <c r="I273" s="8">
        <f t="shared" si="36"/>
        <v>0.33312601652179824</v>
      </c>
      <c r="J273" s="69">
        <f t="shared" si="37"/>
        <v>0.1680686900215903</v>
      </c>
      <c r="K273" s="69">
        <f t="shared" si="38"/>
        <v>0.010978956999085113</v>
      </c>
      <c r="L273" s="45">
        <f t="shared" si="39"/>
        <v>3.5032051282051273</v>
      </c>
      <c r="M273" s="36">
        <v>91</v>
      </c>
      <c r="N273" s="46">
        <v>10.8</v>
      </c>
      <c r="O273" s="36">
        <f t="shared" si="45"/>
        <v>81</v>
      </c>
      <c r="P273" s="47">
        <f t="shared" si="21"/>
        <v>17866.34615384615</v>
      </c>
      <c r="Q273" s="48">
        <f t="shared" si="40"/>
        <v>26825.750749727704</v>
      </c>
      <c r="R273" s="47">
        <f t="shared" si="28"/>
        <v>91629.63835476982</v>
      </c>
      <c r="S273" s="49">
        <f t="shared" si="29"/>
        <v>-23491.70222119835</v>
      </c>
      <c r="T273" s="40">
        <f t="shared" si="30"/>
        <v>68137.93613357146</v>
      </c>
      <c r="U273" s="37"/>
      <c r="V273" s="36"/>
      <c r="W273" s="36">
        <f t="shared" si="31"/>
        <v>81</v>
      </c>
      <c r="X273" s="47">
        <f t="shared" si="22"/>
        <v>17866.34615384615</v>
      </c>
      <c r="Y273" s="47">
        <f t="shared" si="32"/>
        <v>1808.5236921151707</v>
      </c>
      <c r="Z273" s="47">
        <f t="shared" si="33"/>
        <v>23788.48020760766</v>
      </c>
      <c r="AA273" s="48">
        <f t="shared" si="34"/>
        <v>32372.57408886155</v>
      </c>
      <c r="AB273" s="49">
        <f t="shared" si="35"/>
        <v>12977.36791179004</v>
      </c>
      <c r="AC273" s="40">
        <f t="shared" si="23"/>
        <v>34565.795349872365</v>
      </c>
      <c r="AD273" s="37"/>
      <c r="AE273" s="55">
        <v>1968</v>
      </c>
      <c r="AF273">
        <v>46.4795</v>
      </c>
      <c r="AG273">
        <v>51.295</v>
      </c>
      <c r="AH273">
        <v>219.0074</v>
      </c>
      <c r="AI273" s="61">
        <f t="shared" si="41"/>
        <v>0.11002447907337749</v>
      </c>
      <c r="AJ273" s="61">
        <f t="shared" si="42"/>
        <v>0.22456921042202826</v>
      </c>
      <c r="AK273" s="61">
        <f t="shared" si="43"/>
        <v>0.05493623631700003</v>
      </c>
      <c r="AL273" s="61">
        <f t="shared" si="44"/>
        <v>0.15033354733720006</v>
      </c>
      <c r="AM273" s="65">
        <v>0.04719764011799414</v>
      </c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</row>
    <row r="274" spans="3:59" ht="15" hidden="1">
      <c r="C274" s="54">
        <f t="shared" si="24"/>
        <v>0.05591255050997443</v>
      </c>
      <c r="D274" s="64">
        <f t="shared" si="25"/>
        <v>0.05570291777188313</v>
      </c>
      <c r="E274" s="54">
        <f t="shared" si="26"/>
        <v>0.010817075966944676</v>
      </c>
      <c r="F274" s="54">
        <f t="shared" si="27"/>
        <v>0.04434389140271498</v>
      </c>
      <c r="G274" s="41">
        <f t="shared" si="46"/>
        <v>0.07</v>
      </c>
      <c r="H274" s="44">
        <f t="shared" si="47"/>
        <v>0.05</v>
      </c>
      <c r="I274" s="8">
        <f t="shared" si="36"/>
        <v>0.3347916466044072</v>
      </c>
      <c r="J274" s="69">
        <f t="shared" si="37"/>
        <v>0.010817075966944676</v>
      </c>
      <c r="K274" s="69">
        <f t="shared" si="38"/>
        <v>0.04434389140271498</v>
      </c>
      <c r="L274" s="45">
        <f t="shared" si="39"/>
        <v>3.5416666666666656</v>
      </c>
      <c r="M274" s="36">
        <v>92</v>
      </c>
      <c r="N274" s="46">
        <v>10.2</v>
      </c>
      <c r="O274" s="36">
        <f t="shared" si="45"/>
        <v>82</v>
      </c>
      <c r="P274" s="47">
        <f t="shared" si="21"/>
        <v>18062.499999999996</v>
      </c>
      <c r="Q274" s="48">
        <f t="shared" si="40"/>
        <v>23491.70222119835</v>
      </c>
      <c r="R274" s="47">
        <f t="shared" si="28"/>
        <v>77949.67649680414</v>
      </c>
      <c r="S274" s="49">
        <f t="shared" si="29"/>
        <v>-16663.174683797766</v>
      </c>
      <c r="T274" s="40">
        <f t="shared" si="30"/>
        <v>61286.50181300637</v>
      </c>
      <c r="U274" s="37"/>
      <c r="V274" s="36"/>
      <c r="W274" s="36">
        <f t="shared" si="31"/>
        <v>82</v>
      </c>
      <c r="X274" s="47">
        <f t="shared" si="22"/>
        <v>18062.499999999996</v>
      </c>
      <c r="Y274" s="47">
        <f t="shared" si="32"/>
        <v>588.6174767209696</v>
      </c>
      <c r="Z274" s="47">
        <f t="shared" si="33"/>
        <v>24079.588673424976</v>
      </c>
      <c r="AA274" s="48">
        <f t="shared" si="34"/>
        <v>10065.358851928582</v>
      </c>
      <c r="AB274" s="49">
        <f t="shared" si="35"/>
        <v>14491.369064397117</v>
      </c>
      <c r="AC274" s="40">
        <f t="shared" si="23"/>
        <v>21186.929852624286</v>
      </c>
      <c r="AD274" s="37"/>
      <c r="AE274" s="55">
        <v>1969</v>
      </c>
      <c r="AF274">
        <v>42.5448</v>
      </c>
      <c r="AG274">
        <v>50.0336</v>
      </c>
      <c r="AH274">
        <v>234.1144</v>
      </c>
      <c r="AI274" s="61">
        <f t="shared" si="41"/>
        <v>-0.08465452511322194</v>
      </c>
      <c r="AJ274" s="61">
        <f t="shared" si="42"/>
        <v>-0.024591090749585764</v>
      </c>
      <c r="AK274" s="61">
        <f t="shared" si="43"/>
        <v>0.06897940434889414</v>
      </c>
      <c r="AL274" s="61">
        <f t="shared" si="44"/>
        <v>-0.04526575842155586</v>
      </c>
      <c r="AM274" s="65">
        <v>0.06197183098591557</v>
      </c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</row>
    <row r="275" spans="3:59" ht="15" hidden="1">
      <c r="C275" s="54">
        <f t="shared" si="24"/>
        <v>0.09959598302970933</v>
      </c>
      <c r="D275" s="64">
        <f t="shared" si="25"/>
        <v>0.03266331658291468</v>
      </c>
      <c r="E275" s="54">
        <f t="shared" si="26"/>
        <v>0.13015215212668296</v>
      </c>
      <c r="F275" s="54">
        <f t="shared" si="27"/>
        <v>0.044194107452339634</v>
      </c>
      <c r="G275" s="41">
        <f t="shared" si="46"/>
        <v>0.07</v>
      </c>
      <c r="H275" s="44">
        <f t="shared" si="47"/>
        <v>0.05</v>
      </c>
      <c r="I275" s="8">
        <f t="shared" si="36"/>
        <v>0.33646560483742916</v>
      </c>
      <c r="J275" s="69">
        <f t="shared" si="37"/>
        <v>0.13015215212668296</v>
      </c>
      <c r="K275" s="69">
        <f t="shared" si="38"/>
        <v>0.044194107452339634</v>
      </c>
      <c r="L275" s="45">
        <f t="shared" si="39"/>
        <v>3.698717948717948</v>
      </c>
      <c r="M275" s="36">
        <v>93</v>
      </c>
      <c r="N275" s="46">
        <v>9.6</v>
      </c>
      <c r="O275" s="36">
        <f t="shared" si="45"/>
        <v>83</v>
      </c>
      <c r="P275" s="47">
        <f t="shared" si="21"/>
        <v>18863.461538461535</v>
      </c>
      <c r="Q275" s="48">
        <f t="shared" si="40"/>
        <v>16663.174683797766</v>
      </c>
      <c r="R275" s="47">
        <f t="shared" si="28"/>
        <v>55174.106084110696</v>
      </c>
      <c r="S275" s="49">
        <f t="shared" si="29"/>
        <v>-11334.340948220208</v>
      </c>
      <c r="T275" s="40">
        <f t="shared" si="30"/>
        <v>43839.765135890484</v>
      </c>
      <c r="U275" s="37"/>
      <c r="V275" s="36"/>
      <c r="W275" s="36">
        <f t="shared" si="31"/>
        <v>83</v>
      </c>
      <c r="X275" s="47">
        <f t="shared" si="22"/>
        <v>18863.461538461535</v>
      </c>
      <c r="Y275" s="47">
        <f t="shared" si="32"/>
        <v>0</v>
      </c>
      <c r="Z275" s="47">
        <f t="shared" si="33"/>
        <v>0</v>
      </c>
      <c r="AA275" s="48">
        <f t="shared" si="34"/>
        <v>-14627.388476828683</v>
      </c>
      <c r="AB275" s="49">
        <f t="shared" si="35"/>
        <v>13765.535163914079</v>
      </c>
      <c r="AC275" s="40">
        <f t="shared" si="23"/>
        <v>4059.7597981336003</v>
      </c>
      <c r="AD275" s="37"/>
      <c r="AE275" s="55">
        <v>1970</v>
      </c>
      <c r="AF275">
        <v>44.2212</v>
      </c>
      <c r="AG275">
        <v>55.6268</v>
      </c>
      <c r="AH275">
        <v>249.3211</v>
      </c>
      <c r="AI275" s="61">
        <f t="shared" si="41"/>
        <v>0.039403170305184206</v>
      </c>
      <c r="AJ275" s="61">
        <f t="shared" si="42"/>
        <v>0.11178887787406869</v>
      </c>
      <c r="AK275" s="61">
        <f t="shared" si="43"/>
        <v>0.06495414207754846</v>
      </c>
      <c r="AL275" s="61">
        <f t="shared" si="44"/>
        <v>0.07091255050997443</v>
      </c>
      <c r="AM275" s="65">
        <v>0.05570291777188313</v>
      </c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</row>
    <row r="276" spans="3:59" ht="15" hidden="1">
      <c r="C276" s="54">
        <f t="shared" si="24"/>
        <v>0.11749621557698085</v>
      </c>
      <c r="D276" s="64">
        <f t="shared" si="25"/>
        <v>0.03406326034063257</v>
      </c>
      <c r="E276" s="54">
        <f t="shared" si="26"/>
        <v>0.21310573860483206</v>
      </c>
      <c r="F276" s="54">
        <f t="shared" si="27"/>
        <v>0.046473029045643106</v>
      </c>
      <c r="G276" s="41">
        <f t="shared" si="46"/>
        <v>0.07</v>
      </c>
      <c r="H276" s="44">
        <f t="shared" si="47"/>
        <v>0.05</v>
      </c>
      <c r="I276" s="8">
        <f t="shared" si="36"/>
        <v>0.3381479328616163</v>
      </c>
      <c r="J276" s="69">
        <f t="shared" si="37"/>
        <v>0.21310573860483206</v>
      </c>
      <c r="K276" s="69">
        <f t="shared" si="38"/>
        <v>0.046473029045643106</v>
      </c>
      <c r="L276" s="45">
        <f t="shared" si="39"/>
        <v>3.862179487179486</v>
      </c>
      <c r="M276" s="36">
        <v>94</v>
      </c>
      <c r="N276" s="46">
        <v>9.1</v>
      </c>
      <c r="O276" s="36">
        <f t="shared" si="45"/>
        <v>84</v>
      </c>
      <c r="P276" s="47">
        <f t="shared" si="21"/>
        <v>19697.11538461538</v>
      </c>
      <c r="Q276" s="48">
        <f t="shared" si="40"/>
        <v>11334.340948220208</v>
      </c>
      <c r="R276" s="47">
        <f t="shared" si="28"/>
        <v>44607.586025646284</v>
      </c>
      <c r="S276" s="49">
        <f t="shared" si="29"/>
        <v>-14608.475214671113</v>
      </c>
      <c r="T276" s="40">
        <f t="shared" si="30"/>
        <v>29999.110810975173</v>
      </c>
      <c r="U276" s="37"/>
      <c r="V276" s="36"/>
      <c r="W276" s="36">
        <f t="shared" si="31"/>
        <v>84</v>
      </c>
      <c r="X276" s="47">
        <f t="shared" si="22"/>
        <v>19697.11538461538</v>
      </c>
      <c r="Y276" s="47">
        <f t="shared" si="32"/>
        <v>0</v>
      </c>
      <c r="Z276" s="47">
        <f t="shared" si="33"/>
        <v>0</v>
      </c>
      <c r="AA276" s="48">
        <f t="shared" si="34"/>
        <v>-16531.17456708098</v>
      </c>
      <c r="AB276" s="49">
        <f t="shared" si="35"/>
        <v>-4723.657165478162</v>
      </c>
      <c r="AC276" s="40">
        <f t="shared" si="23"/>
        <v>-15664.849224926182</v>
      </c>
      <c r="AD276" s="37"/>
      <c r="AE276" s="55">
        <v>1971</v>
      </c>
      <c r="AF276">
        <v>50.5451</v>
      </c>
      <c r="AG276">
        <v>61.0126</v>
      </c>
      <c r="AH276">
        <v>260.2036</v>
      </c>
      <c r="AI276" s="61">
        <f t="shared" si="41"/>
        <v>0.14300606948703323</v>
      </c>
      <c r="AJ276" s="61">
        <f t="shared" si="42"/>
        <v>0.09682023772713864</v>
      </c>
      <c r="AK276" s="61">
        <f t="shared" si="43"/>
        <v>0.04364853195337255</v>
      </c>
      <c r="AL276" s="61">
        <f t="shared" si="44"/>
        <v>0.11459598302970933</v>
      </c>
      <c r="AM276" s="65">
        <v>0.03266331658291468</v>
      </c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</row>
    <row r="277" spans="3:59" ht="15" hidden="1">
      <c r="C277" s="54">
        <f t="shared" si="24"/>
        <v>-0.06920670922636307</v>
      </c>
      <c r="D277" s="64">
        <f t="shared" si="25"/>
        <v>0.08705882352941183</v>
      </c>
      <c r="E277" s="54">
        <f t="shared" si="26"/>
        <v>0.01159971460295798</v>
      </c>
      <c r="F277" s="54">
        <f t="shared" si="27"/>
        <v>0.06106264869151481</v>
      </c>
      <c r="G277" s="41">
        <f t="shared" si="46"/>
        <v>0.07</v>
      </c>
      <c r="H277" s="44">
        <f t="shared" si="47"/>
        <v>0.05</v>
      </c>
      <c r="I277" s="8">
        <f t="shared" si="36"/>
        <v>0.3398386725259243</v>
      </c>
      <c r="J277" s="69">
        <f t="shared" si="37"/>
        <v>0.01159971460295798</v>
      </c>
      <c r="K277" s="69">
        <f t="shared" si="38"/>
        <v>0.06106264869151481</v>
      </c>
      <c r="L277" s="45">
        <f t="shared" si="39"/>
        <v>4.041666666666665</v>
      </c>
      <c r="M277" s="36">
        <v>95</v>
      </c>
      <c r="N277" s="46">
        <v>8.6</v>
      </c>
      <c r="O277" s="36">
        <f t="shared" si="45"/>
        <v>85</v>
      </c>
      <c r="P277" s="47">
        <f t="shared" si="21"/>
        <v>20612.499999999993</v>
      </c>
      <c r="Q277" s="48">
        <f t="shared" si="40"/>
        <v>14608.475214671113</v>
      </c>
      <c r="R277" s="47">
        <f t="shared" si="28"/>
        <v>41571.67109511528</v>
      </c>
      <c r="S277" s="49">
        <f t="shared" si="29"/>
        <v>-25621.45590720213</v>
      </c>
      <c r="T277" s="40">
        <f t="shared" si="30"/>
        <v>15950.215187913149</v>
      </c>
      <c r="U277" s="37"/>
      <c r="V277" s="36"/>
      <c r="W277" s="36">
        <f t="shared" si="31"/>
        <v>85</v>
      </c>
      <c r="X277" s="47">
        <f t="shared" si="22"/>
        <v>20612.499999999993</v>
      </c>
      <c r="Y277" s="47">
        <f t="shared" si="32"/>
        <v>0</v>
      </c>
      <c r="Z277" s="47">
        <f t="shared" si="33"/>
        <v>0</v>
      </c>
      <c r="AA277" s="48">
        <f t="shared" si="34"/>
        <v>-20054.062733204188</v>
      </c>
      <c r="AB277" s="49">
        <f t="shared" si="35"/>
        <v>-26476.102924109677</v>
      </c>
      <c r="AC277" s="40">
        <f t="shared" si="23"/>
        <v>-39715.019599310144</v>
      </c>
      <c r="AD277" s="37"/>
      <c r="AE277" s="55">
        <v>1972</v>
      </c>
      <c r="AF277">
        <v>60.1461</v>
      </c>
      <c r="AG277">
        <v>66.0904</v>
      </c>
      <c r="AH277">
        <v>271.214</v>
      </c>
      <c r="AI277" s="61">
        <f t="shared" si="41"/>
        <v>0.18994917410391907</v>
      </c>
      <c r="AJ277" s="61">
        <f t="shared" si="42"/>
        <v>0.08322543212385644</v>
      </c>
      <c r="AK277" s="61">
        <f t="shared" si="43"/>
        <v>0.04231455675478742</v>
      </c>
      <c r="AL277" s="61">
        <f t="shared" si="44"/>
        <v>0.13249621557698085</v>
      </c>
      <c r="AM277" s="65">
        <v>0.03406326034063257</v>
      </c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</row>
    <row r="278" spans="3:59" ht="15" hidden="1">
      <c r="C278" s="54">
        <f t="shared" si="24"/>
        <v>-0.13841003417611597</v>
      </c>
      <c r="D278" s="64">
        <f t="shared" si="25"/>
        <v>0.12337662337662328</v>
      </c>
      <c r="E278" s="54">
        <f t="shared" si="26"/>
        <v>0.2062224301078372</v>
      </c>
      <c r="F278" s="54">
        <f t="shared" si="27"/>
        <v>0.030642750373692032</v>
      </c>
      <c r="G278" s="41">
        <f t="shared" si="46"/>
        <v>0.07</v>
      </c>
      <c r="H278" s="44">
        <f t="shared" si="47"/>
        <v>0.05</v>
      </c>
      <c r="I278" s="8">
        <f t="shared" si="36"/>
        <v>0.3415378658885539</v>
      </c>
      <c r="J278" s="69">
        <f t="shared" si="37"/>
        <v>0.2062224301078372</v>
      </c>
      <c r="K278" s="69">
        <f t="shared" si="38"/>
        <v>0.030642750373692032</v>
      </c>
      <c r="L278" s="45">
        <f t="shared" si="39"/>
        <v>4.288461538461537</v>
      </c>
      <c r="M278" s="36">
        <v>96</v>
      </c>
      <c r="N278" s="46">
        <v>8.1</v>
      </c>
      <c r="O278" s="36">
        <f t="shared" si="45"/>
        <v>86</v>
      </c>
      <c r="P278" s="47">
        <f t="shared" si="21"/>
        <v>21871.15384615384</v>
      </c>
      <c r="Q278" s="48">
        <f t="shared" si="40"/>
        <v>25621.45590720213</v>
      </c>
      <c r="R278" s="47">
        <f t="shared" si="28"/>
        <v>27360.688329078257</v>
      </c>
      <c r="S278" s="49">
        <f t="shared" si="29"/>
        <v>-31844.670138863134</v>
      </c>
      <c r="T278" s="40">
        <f t="shared" si="30"/>
        <v>-4483.9818097848765</v>
      </c>
      <c r="U278" s="37"/>
      <c r="V278" s="36"/>
      <c r="W278" s="36">
        <f t="shared" si="31"/>
        <v>86</v>
      </c>
      <c r="X278" s="47">
        <f t="shared" si="22"/>
        <v>21871.15384615384</v>
      </c>
      <c r="Y278" s="47">
        <f t="shared" si="32"/>
        <v>0</v>
      </c>
      <c r="Z278" s="47">
        <f t="shared" si="33"/>
        <v>0</v>
      </c>
      <c r="AA278" s="48">
        <f t="shared" si="34"/>
        <v>-20286.684137539174</v>
      </c>
      <c r="AB278" s="49">
        <f t="shared" si="35"/>
        <v>-47370.2705224512</v>
      </c>
      <c r="AC278" s="40">
        <f t="shared" si="23"/>
        <v>-60728.283853700064</v>
      </c>
      <c r="AD278" s="37"/>
      <c r="AE278" s="55">
        <v>1973</v>
      </c>
      <c r="AF278">
        <v>51.3114</v>
      </c>
      <c r="AG278">
        <v>68.0645</v>
      </c>
      <c r="AH278">
        <v>290.983</v>
      </c>
      <c r="AI278" s="61">
        <f t="shared" si="41"/>
        <v>-0.14688732935302537</v>
      </c>
      <c r="AJ278" s="61">
        <f t="shared" si="42"/>
        <v>0.029869693631752764</v>
      </c>
      <c r="AK278" s="61">
        <f t="shared" si="43"/>
        <v>0.07289077997448512</v>
      </c>
      <c r="AL278" s="61">
        <f t="shared" si="44"/>
        <v>-0.054206709226363066</v>
      </c>
      <c r="AM278" s="65">
        <v>0.08705882352941183</v>
      </c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</row>
    <row r="279" spans="3:59" ht="15" hidden="1">
      <c r="C279" s="54">
        <f t="shared" si="24"/>
        <v>0.2211704055047879</v>
      </c>
      <c r="D279" s="64">
        <f t="shared" si="25"/>
        <v>0.06936416184971102</v>
      </c>
      <c r="E279" s="54">
        <f t="shared" si="26"/>
        <v>0.06914639843928778</v>
      </c>
      <c r="F279" s="54">
        <f t="shared" si="27"/>
        <v>0.0290065264684554</v>
      </c>
      <c r="G279" s="41">
        <f t="shared" si="46"/>
        <v>0.07</v>
      </c>
      <c r="H279" s="44">
        <f t="shared" si="47"/>
        <v>0.05</v>
      </c>
      <c r="I279" s="8">
        <f t="shared" si="36"/>
        <v>0.34324555521799666</v>
      </c>
      <c r="J279" s="69">
        <f t="shared" si="37"/>
        <v>0.06914639843928778</v>
      </c>
      <c r="K279" s="69">
        <f t="shared" si="38"/>
        <v>0.0290065264684554</v>
      </c>
      <c r="L279" s="45">
        <f t="shared" si="39"/>
        <v>4.419871794871794</v>
      </c>
      <c r="M279" s="36">
        <v>97</v>
      </c>
      <c r="N279" s="46">
        <v>7.6</v>
      </c>
      <c r="O279" s="36">
        <f t="shared" si="45"/>
        <v>87</v>
      </c>
      <c r="P279" s="47">
        <f t="shared" si="21"/>
        <v>22541.34615384615</v>
      </c>
      <c r="Q279" s="48">
        <f t="shared" si="40"/>
        <v>31844.670138863134</v>
      </c>
      <c r="R279" s="47">
        <f t="shared" si="28"/>
        <v>4739.7606084797735</v>
      </c>
      <c r="S279" s="49">
        <f t="shared" si="29"/>
        <v>-32163.91893076975</v>
      </c>
      <c r="T279" s="40">
        <f t="shared" si="30"/>
        <v>-27424.158322289975</v>
      </c>
      <c r="U279" s="37"/>
      <c r="V279" s="36"/>
      <c r="W279" s="36">
        <f t="shared" si="31"/>
        <v>87</v>
      </c>
      <c r="X279" s="47">
        <f t="shared" si="22"/>
        <v>22541.34615384615</v>
      </c>
      <c r="Y279" s="47">
        <f t="shared" si="32"/>
        <v>0</v>
      </c>
      <c r="Z279" s="47">
        <f t="shared" si="33"/>
        <v>0</v>
      </c>
      <c r="AA279" s="48">
        <f t="shared" si="34"/>
        <v>-24470.253439212618</v>
      </c>
      <c r="AB279" s="49">
        <f t="shared" si="35"/>
        <v>-77158.75565264907</v>
      </c>
      <c r="AC279" s="40">
        <f t="shared" si="23"/>
        <v>-93229.70336379405</v>
      </c>
      <c r="AD279" s="37"/>
      <c r="AE279" s="55">
        <v>1974</v>
      </c>
      <c r="AF279">
        <v>37.7306</v>
      </c>
      <c r="AG279">
        <v>68.2232</v>
      </c>
      <c r="AH279">
        <v>314.2453</v>
      </c>
      <c r="AI279" s="61">
        <f t="shared" si="41"/>
        <v>-0.2646741269971195</v>
      </c>
      <c r="AJ279" s="61">
        <f t="shared" si="42"/>
        <v>0.0023316119269224085</v>
      </c>
      <c r="AK279" s="61">
        <f t="shared" si="43"/>
        <v>0.07994384551674834</v>
      </c>
      <c r="AL279" s="61">
        <f t="shared" si="44"/>
        <v>-0.12341003417611596</v>
      </c>
      <c r="AM279" s="65">
        <v>0.12337662337662328</v>
      </c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</row>
    <row r="280" spans="3:59" ht="15" hidden="1">
      <c r="C280" s="54">
        <f t="shared" si="24"/>
        <v>0.16792948505021343</v>
      </c>
      <c r="D280" s="64">
        <f t="shared" si="25"/>
        <v>0.0486486486486487</v>
      </c>
      <c r="E280" s="54">
        <f t="shared" si="26"/>
        <v>0.09707257926734182</v>
      </c>
      <c r="F280" s="54">
        <f t="shared" si="27"/>
        <v>0.02748414376321357</v>
      </c>
      <c r="G280" s="41">
        <f t="shared" si="46"/>
        <v>0.07</v>
      </c>
      <c r="H280" s="44">
        <f t="shared" si="47"/>
        <v>0.05</v>
      </c>
      <c r="I280" s="8">
        <f t="shared" si="36"/>
        <v>0.34496178299408653</v>
      </c>
      <c r="J280" s="69">
        <f t="shared" si="37"/>
        <v>0.09707257926734182</v>
      </c>
      <c r="K280" s="69">
        <f t="shared" si="38"/>
        <v>0.02748414376321357</v>
      </c>
      <c r="L280" s="45">
        <f t="shared" si="39"/>
        <v>4.548076923076922</v>
      </c>
      <c r="M280" s="36">
        <v>98</v>
      </c>
      <c r="N280" s="46">
        <v>7.1</v>
      </c>
      <c r="O280" s="36">
        <f t="shared" si="45"/>
        <v>88</v>
      </c>
      <c r="P280" s="47">
        <f t="shared" si="21"/>
        <v>23195.1923076923</v>
      </c>
      <c r="Q280" s="48">
        <f t="shared" si="40"/>
        <v>32163.91893076975</v>
      </c>
      <c r="R280" s="47">
        <f t="shared" si="28"/>
        <v>-27878.144279637338</v>
      </c>
      <c r="S280" s="49">
        <f t="shared" si="29"/>
        <v>-24109.98718452073</v>
      </c>
      <c r="T280" s="40">
        <f t="shared" si="30"/>
        <v>-51988.13146415807</v>
      </c>
      <c r="U280" s="37"/>
      <c r="V280" s="36"/>
      <c r="W280" s="36">
        <f t="shared" si="31"/>
        <v>88</v>
      </c>
      <c r="X280" s="47">
        <f t="shared" si="22"/>
        <v>23195.1923076923</v>
      </c>
      <c r="Y280" s="47">
        <f t="shared" si="32"/>
        <v>0</v>
      </c>
      <c r="Z280" s="47">
        <f t="shared" si="33"/>
        <v>0</v>
      </c>
      <c r="AA280" s="48">
        <f t="shared" si="34"/>
        <v>-26162.283333430765</v>
      </c>
      <c r="AB280" s="49">
        <f t="shared" si="35"/>
        <v>-103715.87710916638</v>
      </c>
      <c r="AC280" s="40">
        <f t="shared" si="23"/>
        <v>-120853.1725367004</v>
      </c>
      <c r="AD280" s="37"/>
      <c r="AE280" s="55">
        <v>1975</v>
      </c>
      <c r="AF280">
        <v>51.7772</v>
      </c>
      <c r="AG280">
        <v>75.7546</v>
      </c>
      <c r="AH280">
        <v>332.6904</v>
      </c>
      <c r="AI280" s="61">
        <f t="shared" si="41"/>
        <v>0.37228668507789425</v>
      </c>
      <c r="AJ280" s="61">
        <f t="shared" si="42"/>
        <v>0.11039353181908779</v>
      </c>
      <c r="AK280" s="61">
        <f t="shared" si="43"/>
        <v>0.05869650238205639</v>
      </c>
      <c r="AL280" s="61">
        <f t="shared" si="44"/>
        <v>0.2361704055047879</v>
      </c>
      <c r="AM280" s="65">
        <v>0.06936416184971102</v>
      </c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</row>
    <row r="281" spans="3:59" ht="15" hidden="1">
      <c r="C281" s="54">
        <f t="shared" si="24"/>
        <v>-0.023288497192447313</v>
      </c>
      <c r="D281" s="64">
        <f t="shared" si="25"/>
        <v>0.06701030927835049</v>
      </c>
      <c r="E281" s="54">
        <f t="shared" si="26"/>
        <v>-0.013750853713357344</v>
      </c>
      <c r="F281" s="54">
        <f t="shared" si="27"/>
        <v>0.02674897119341548</v>
      </c>
      <c r="G281" s="41">
        <f t="shared" si="46"/>
        <v>0.07</v>
      </c>
      <c r="H281" s="44">
        <f t="shared" si="47"/>
        <v>0.05</v>
      </c>
      <c r="I281" s="8">
        <f t="shared" si="36"/>
        <v>0.34668659190905693</v>
      </c>
      <c r="J281" s="69">
        <f t="shared" si="37"/>
        <v>-0.013750853713357344</v>
      </c>
      <c r="K281" s="69">
        <f t="shared" si="38"/>
        <v>0.02674897119341548</v>
      </c>
      <c r="L281" s="45">
        <f t="shared" si="39"/>
        <v>4.673076923076922</v>
      </c>
      <c r="M281" s="36">
        <v>99</v>
      </c>
      <c r="N281" s="46">
        <v>6.7</v>
      </c>
      <c r="O281" s="36">
        <f t="shared" si="45"/>
        <v>89</v>
      </c>
      <c r="P281" s="47">
        <f t="shared" si="21"/>
        <v>23832.6923076923</v>
      </c>
      <c r="Q281" s="48">
        <f t="shared" si="40"/>
        <v>24109.98718452073</v>
      </c>
      <c r="R281" s="47">
        <f t="shared" si="28"/>
        <v>-64309.383865796335</v>
      </c>
      <c r="S281" s="49">
        <f t="shared" si="29"/>
        <v>-16389.18037258881</v>
      </c>
      <c r="T281" s="40">
        <f t="shared" si="30"/>
        <v>-80698.56423838515</v>
      </c>
      <c r="U281" s="37"/>
      <c r="V281" s="36"/>
      <c r="W281" s="36">
        <f t="shared" si="31"/>
        <v>89</v>
      </c>
      <c r="X281" s="47">
        <f t="shared" si="22"/>
        <v>23832.6923076923</v>
      </c>
      <c r="Y281" s="47">
        <f t="shared" si="32"/>
        <v>0</v>
      </c>
      <c r="Z281" s="47">
        <f t="shared" si="33"/>
        <v>0</v>
      </c>
      <c r="AA281" s="48">
        <f t="shared" si="34"/>
        <v>-28701.923656129882</v>
      </c>
      <c r="AB281" s="49">
        <f t="shared" si="35"/>
        <v>-134243.4206688879</v>
      </c>
      <c r="AC281" s="40">
        <f t="shared" si="23"/>
        <v>-152994.77223144018</v>
      </c>
      <c r="AD281" s="37"/>
      <c r="AE281" s="55">
        <v>1976</v>
      </c>
      <c r="AF281">
        <v>64.1659</v>
      </c>
      <c r="AG281">
        <v>86.7821</v>
      </c>
      <c r="AH281">
        <v>349.5488</v>
      </c>
      <c r="AI281" s="61">
        <f t="shared" si="41"/>
        <v>0.23926940815648573</v>
      </c>
      <c r="AJ281" s="61">
        <f t="shared" si="42"/>
        <v>0.1455687179392407</v>
      </c>
      <c r="AK281" s="61">
        <f t="shared" si="43"/>
        <v>0.05067293796274259</v>
      </c>
      <c r="AL281" s="61">
        <f t="shared" si="44"/>
        <v>0.18292948505021342</v>
      </c>
      <c r="AM281" s="65">
        <v>0.0486486486486487</v>
      </c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</row>
    <row r="282" spans="3:59" ht="15" hidden="1">
      <c r="C282" s="54">
        <f t="shared" si="24"/>
        <v>0.032827298471134955</v>
      </c>
      <c r="D282" s="64">
        <f t="shared" si="25"/>
        <v>0.09017713365539455</v>
      </c>
      <c r="E282" s="54">
        <f t="shared" si="26"/>
        <v>0.26645935617323263</v>
      </c>
      <c r="F282" s="54">
        <f t="shared" si="27"/>
        <v>0.025384101536406224</v>
      </c>
      <c r="G282" s="41">
        <f t="shared" si="46"/>
        <v>0.07</v>
      </c>
      <c r="H282" s="44">
        <f t="shared" si="47"/>
        <v>0.05</v>
      </c>
      <c r="I282" s="8">
        <f t="shared" si="36"/>
        <v>0.3484200248686022</v>
      </c>
      <c r="J282" s="69">
        <f t="shared" si="37"/>
        <v>0.26645935617323263</v>
      </c>
      <c r="K282" s="69">
        <f t="shared" si="38"/>
        <v>0.025384101536406224</v>
      </c>
      <c r="L282" s="45">
        <f t="shared" si="39"/>
        <v>4.798076923076921</v>
      </c>
      <c r="M282" s="36">
        <v>100</v>
      </c>
      <c r="N282" s="46">
        <v>6.3</v>
      </c>
      <c r="O282" s="36">
        <f t="shared" si="45"/>
        <v>90</v>
      </c>
      <c r="P282" s="47">
        <f t="shared" si="21"/>
        <v>24470.192307692294</v>
      </c>
      <c r="Q282" s="48">
        <f t="shared" si="40"/>
        <v>16389.18037258881</v>
      </c>
      <c r="R282" s="47">
        <f t="shared" si="28"/>
        <v>-87369.29566697971</v>
      </c>
      <c r="S282" s="49">
        <f t="shared" si="29"/>
        <v>-15965.896930149767</v>
      </c>
      <c r="T282" s="40">
        <f t="shared" si="30"/>
        <v>-103335.19259712948</v>
      </c>
      <c r="U282" s="37"/>
      <c r="V282" s="36"/>
      <c r="W282" s="36">
        <f t="shared" si="31"/>
        <v>90</v>
      </c>
      <c r="X282" s="47">
        <f t="shared" si="22"/>
        <v>24470.192307692294</v>
      </c>
      <c r="Y282" s="47">
        <f t="shared" si="32"/>
        <v>0</v>
      </c>
      <c r="Z282" s="47">
        <f t="shared" si="33"/>
        <v>0</v>
      </c>
      <c r="AA282" s="48">
        <f t="shared" si="34"/>
        <v>-28307.24770264249</v>
      </c>
      <c r="AB282" s="49">
        <f t="shared" si="35"/>
        <v>-156763.06959548843</v>
      </c>
      <c r="AC282" s="40">
        <f t="shared" si="23"/>
        <v>-175207.50534961454</v>
      </c>
      <c r="AD282" s="37"/>
      <c r="AE282" s="55">
        <v>1977</v>
      </c>
      <c r="AF282">
        <v>59.5739</v>
      </c>
      <c r="AG282">
        <v>91.5639</v>
      </c>
      <c r="AH282">
        <v>368.6106</v>
      </c>
      <c r="AI282" s="61">
        <f t="shared" si="41"/>
        <v>-0.07156449141989736</v>
      </c>
      <c r="AJ282" s="61">
        <f t="shared" si="42"/>
        <v>0.055101224791748574</v>
      </c>
      <c r="AK282" s="61">
        <f t="shared" si="43"/>
        <v>0.05453258600801933</v>
      </c>
      <c r="AL282" s="61">
        <f t="shared" si="44"/>
        <v>-0.008288497192447316</v>
      </c>
      <c r="AM282" s="65">
        <v>0.06701030927835049</v>
      </c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</row>
    <row r="283" spans="3:59" ht="15" hidden="1">
      <c r="C283" s="54">
        <f t="shared" si="24"/>
        <v>0.08237892266799905</v>
      </c>
      <c r="D283" s="64">
        <f t="shared" si="25"/>
        <v>0.1329394387001477</v>
      </c>
      <c r="E283" s="54">
        <f t="shared" si="26"/>
        <v>0.12189226456850662</v>
      </c>
      <c r="F283" s="54">
        <f t="shared" si="27"/>
        <v>0.033224755700325695</v>
      </c>
      <c r="G283" s="41">
        <f t="shared" si="46"/>
        <v>0.07</v>
      </c>
      <c r="H283" s="44">
        <f t="shared" si="47"/>
        <v>0.05</v>
      </c>
      <c r="I283" s="8">
        <f t="shared" si="36"/>
        <v>0.3501621249929451</v>
      </c>
      <c r="J283" s="69">
        <f t="shared" si="37"/>
        <v>0.12189226456850662</v>
      </c>
      <c r="K283" s="69">
        <f t="shared" si="38"/>
        <v>0.033224755700325695</v>
      </c>
      <c r="L283" s="45">
        <f t="shared" si="39"/>
        <v>4.919871794871793</v>
      </c>
      <c r="M283" s="36">
        <v>101</v>
      </c>
      <c r="N283" s="46">
        <v>5.9</v>
      </c>
      <c r="O283" s="36">
        <f t="shared" si="45"/>
        <v>91</v>
      </c>
      <c r="P283" s="47">
        <f t="shared" si="21"/>
        <v>25091.346153846145</v>
      </c>
      <c r="Q283" s="48">
        <f t="shared" si="40"/>
        <v>15965.896930149767</v>
      </c>
      <c r="R283" s="47">
        <f t="shared" si="28"/>
        <v>-129222.36753744424</v>
      </c>
      <c r="S283" s="49">
        <f t="shared" si="29"/>
        <v>-27520.412147044914</v>
      </c>
      <c r="T283" s="40">
        <f t="shared" si="30"/>
        <v>-156742.77968448916</v>
      </c>
      <c r="U283" s="37"/>
      <c r="V283" s="36"/>
      <c r="W283" s="36">
        <f t="shared" si="31"/>
        <v>91</v>
      </c>
      <c r="X283" s="47">
        <f t="shared" si="22"/>
        <v>25091.346153846145</v>
      </c>
      <c r="Y283" s="47">
        <f t="shared" si="32"/>
        <v>0</v>
      </c>
      <c r="Z283" s="47">
        <f t="shared" si="33"/>
        <v>0</v>
      </c>
      <c r="AA283" s="48">
        <f t="shared" si="34"/>
        <v>-35849.97870052483</v>
      </c>
      <c r="AB283" s="49">
        <f t="shared" si="35"/>
        <v>-210574.65257439064</v>
      </c>
      <c r="AC283" s="40">
        <f t="shared" si="23"/>
        <v>-233871.32655218788</v>
      </c>
      <c r="AD283" s="37"/>
      <c r="AE283" s="55">
        <v>1978</v>
      </c>
      <c r="AF283">
        <v>63.4884</v>
      </c>
      <c r="AG283">
        <v>93.2426</v>
      </c>
      <c r="AH283">
        <v>396.7713</v>
      </c>
      <c r="AI283" s="61">
        <f t="shared" si="41"/>
        <v>0.0657083051470526</v>
      </c>
      <c r="AJ283" s="61">
        <f t="shared" si="42"/>
        <v>0.018333644591372714</v>
      </c>
      <c r="AK283" s="61">
        <f t="shared" si="43"/>
        <v>0.07639688061059563</v>
      </c>
      <c r="AL283" s="61">
        <f t="shared" si="44"/>
        <v>0.047827298471134955</v>
      </c>
      <c r="AM283" s="65">
        <v>0.09017713365539455</v>
      </c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</row>
    <row r="284" spans="3:59" ht="15" hidden="1">
      <c r="C284" s="54">
        <f t="shared" si="24"/>
        <v>0.1397165902717712</v>
      </c>
      <c r="D284" s="64">
        <f t="shared" si="25"/>
        <v>0.12516297262059967</v>
      </c>
      <c r="E284" s="54">
        <f t="shared" si="26"/>
        <v>0.20039552052260062</v>
      </c>
      <c r="F284" s="54">
        <f t="shared" si="27"/>
        <v>0.017023959646910575</v>
      </c>
      <c r="G284" s="41">
        <f t="shared" si="46"/>
        <v>0.07</v>
      </c>
      <c r="H284" s="44">
        <f t="shared" si="47"/>
        <v>0.05</v>
      </c>
      <c r="I284" s="8">
        <f t="shared" si="36"/>
        <v>0.35191293561790976</v>
      </c>
      <c r="J284" s="69">
        <f t="shared" si="37"/>
        <v>0.20039552052260062</v>
      </c>
      <c r="K284" s="69">
        <f t="shared" si="38"/>
        <v>0.017023959646910575</v>
      </c>
      <c r="L284" s="45">
        <f t="shared" si="39"/>
        <v>5.083333333333331</v>
      </c>
      <c r="M284" s="36">
        <v>102</v>
      </c>
      <c r="N284" s="46">
        <v>5.5</v>
      </c>
      <c r="O284" s="36">
        <f t="shared" si="45"/>
        <v>92</v>
      </c>
      <c r="P284" s="47">
        <f aca="true" t="shared" si="48" ref="P284:P315">IF(O284&lt;$A$43,0,$A$121*L284/$L$252)</f>
        <v>25924.99999999999</v>
      </c>
      <c r="Q284" s="48">
        <f t="shared" si="40"/>
        <v>27520.412147044914</v>
      </c>
      <c r="R284" s="47">
        <f t="shared" si="28"/>
        <v>-161912.53114597863</v>
      </c>
      <c r="S284" s="49">
        <f t="shared" si="29"/>
        <v>-39187.173376871346</v>
      </c>
      <c r="T284" s="40">
        <f t="shared" si="30"/>
        <v>-201099.70452285</v>
      </c>
      <c r="U284" s="37"/>
      <c r="V284" s="36"/>
      <c r="W284" s="36">
        <f t="shared" si="31"/>
        <v>92</v>
      </c>
      <c r="X284" s="47">
        <f t="shared" si="22"/>
        <v>25924.99999999999</v>
      </c>
      <c r="Y284" s="47">
        <f t="shared" si="32"/>
        <v>0</v>
      </c>
      <c r="Z284" s="47">
        <f t="shared" si="33"/>
        <v>0</v>
      </c>
      <c r="AA284" s="48">
        <f t="shared" si="34"/>
        <v>-40219.81378906452</v>
      </c>
      <c r="AB284" s="49">
        <f t="shared" si="35"/>
        <v>-253339.40662006833</v>
      </c>
      <c r="AC284" s="40">
        <f aca="true" t="shared" si="49" ref="AC284:AC315">AA284*(1-I284)+AB284</f>
        <v>-279405.3476686175</v>
      </c>
      <c r="AD284" s="37"/>
      <c r="AE284" s="55">
        <v>1979</v>
      </c>
      <c r="AF284">
        <v>75.3032</v>
      </c>
      <c r="AG284">
        <v>91.7899</v>
      </c>
      <c r="AH284">
        <v>438.6859</v>
      </c>
      <c r="AI284" s="61">
        <f t="shared" si="41"/>
        <v>0.18609383761443044</v>
      </c>
      <c r="AJ284" s="61">
        <f t="shared" si="42"/>
        <v>-0.01557978863738241</v>
      </c>
      <c r="AK284" s="61">
        <f t="shared" si="43"/>
        <v>0.105639193157368</v>
      </c>
      <c r="AL284" s="61">
        <f t="shared" si="44"/>
        <v>0.09737892266799905</v>
      </c>
      <c r="AM284" s="65">
        <v>0.1329394387001477</v>
      </c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</row>
    <row r="285" spans="3:59" ht="15" hidden="1">
      <c r="C285" s="54">
        <f t="shared" si="24"/>
        <v>0.010887495182382991</v>
      </c>
      <c r="D285" s="64">
        <f t="shared" si="25"/>
        <v>0.08922363847045195</v>
      </c>
      <c r="E285" s="54">
        <f t="shared" si="26"/>
        <v>0.17637963346868246</v>
      </c>
      <c r="F285" s="54">
        <f t="shared" si="27"/>
        <v>0.016119032858028483</v>
      </c>
      <c r="G285" s="41">
        <f t="shared" si="46"/>
        <v>0.07</v>
      </c>
      <c r="H285" s="44">
        <f t="shared" si="47"/>
        <v>0.05</v>
      </c>
      <c r="I285" s="8">
        <f t="shared" si="36"/>
        <v>0.3536725002959992</v>
      </c>
      <c r="J285" s="69">
        <f t="shared" si="37"/>
        <v>0.17637963346868246</v>
      </c>
      <c r="K285" s="69">
        <f t="shared" si="38"/>
        <v>0.016119032858028483</v>
      </c>
      <c r="L285" s="45">
        <f t="shared" si="39"/>
        <v>5.169871794871794</v>
      </c>
      <c r="M285" s="36">
        <v>103</v>
      </c>
      <c r="N285" s="46">
        <v>5.2</v>
      </c>
      <c r="O285" s="36">
        <f t="shared" si="45"/>
        <v>93</v>
      </c>
      <c r="P285" s="47">
        <f t="shared" si="48"/>
        <v>26366.34615384615</v>
      </c>
      <c r="Q285" s="48">
        <f t="shared" si="40"/>
        <v>39187.173376871346</v>
      </c>
      <c r="R285" s="47">
        <f aca="true" t="shared" si="50" ref="R285:R318">(R284-0.5*Q284)*(1+J284)-0.5*Q284</f>
        <v>-224636.9729097555</v>
      </c>
      <c r="S285" s="49">
        <f aca="true" t="shared" si="51" ref="S285:S318">(S284-0.5*P284+0.5*Q284)*(1+J284*(1-I284))-0.5*P284+0.5*Q284</f>
        <v>-42577.54510212671</v>
      </c>
      <c r="T285" s="40">
        <f t="shared" si="30"/>
        <v>-267214.5180118822</v>
      </c>
      <c r="U285" s="37"/>
      <c r="V285" s="36"/>
      <c r="W285" s="36">
        <f t="shared" si="31"/>
        <v>93</v>
      </c>
      <c r="X285" s="47">
        <f t="shared" si="22"/>
        <v>26366.34615384615</v>
      </c>
      <c r="Y285" s="47">
        <f t="shared" si="32"/>
        <v>0</v>
      </c>
      <c r="Z285" s="47">
        <f aca="true" t="shared" si="52" ref="Z285:Z318">IF(AA284&lt;X285,0,IF(AB285&gt;X285,0,X285*(1+I284)))</f>
        <v>0</v>
      </c>
      <c r="AA285" s="48">
        <f aca="true" t="shared" si="53" ref="AA285:AA318">(AA284-0.5*Z284-0.5*Y284)*(1+J284)-0.5*Z284-0.5*Y284</f>
        <v>-48279.68430864618</v>
      </c>
      <c r="AB285" s="49">
        <f aca="true" t="shared" si="54" ref="AB285:AB318">(AB284-0.5*X284+0.5*(Y284+Z284)*(1-I284*$A$61))*(1+J284*(1-I284))-0.5*X284+0.5*(Y284+Z284)*(1-I284*$A$61)</f>
        <v>-313850.0324298157</v>
      </c>
      <c r="AC285" s="40">
        <f t="shared" si="49"/>
        <v>-345054.52007552143</v>
      </c>
      <c r="AD285" s="37"/>
      <c r="AE285" s="55">
        <v>1980</v>
      </c>
      <c r="AF285" s="56">
        <v>99.7795</v>
      </c>
      <c r="AG285">
        <v>87.2223</v>
      </c>
      <c r="AH285">
        <v>491.7794</v>
      </c>
      <c r="AI285" s="61">
        <f t="shared" si="41"/>
        <v>0.32503665182887304</v>
      </c>
      <c r="AJ285" s="61">
        <f t="shared" si="42"/>
        <v>-0.049761466130805225</v>
      </c>
      <c r="AK285" s="61">
        <f t="shared" si="43"/>
        <v>0.12102850809656751</v>
      </c>
      <c r="AL285" s="61">
        <f t="shared" si="44"/>
        <v>0.15471659027177118</v>
      </c>
      <c r="AM285" s="65">
        <v>0.12516297262059967</v>
      </c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</row>
    <row r="286" spans="3:59" ht="15" hidden="1">
      <c r="C286" s="54">
        <f t="shared" si="24"/>
        <v>0.2432651487920664</v>
      </c>
      <c r="D286" s="64">
        <f t="shared" si="25"/>
        <v>0.03829787234042547</v>
      </c>
      <c r="E286" s="54">
        <f t="shared" si="26"/>
        <v>0.08286306347650682</v>
      </c>
      <c r="F286" s="54">
        <f t="shared" si="27"/>
        <v>0.02684563758389265</v>
      </c>
      <c r="G286" s="41">
        <f t="shared" si="46"/>
        <v>0.07</v>
      </c>
      <c r="H286" s="44">
        <f t="shared" si="47"/>
        <v>0.05</v>
      </c>
      <c r="I286" s="8">
        <f t="shared" si="36"/>
        <v>0.3554408627974792</v>
      </c>
      <c r="J286" s="69">
        <f t="shared" si="37"/>
        <v>0.08286306347650682</v>
      </c>
      <c r="K286" s="69">
        <f t="shared" si="38"/>
        <v>0.02684563758389265</v>
      </c>
      <c r="L286" s="45">
        <f t="shared" si="39"/>
        <v>5.253205128205127</v>
      </c>
      <c r="M286" s="36">
        <v>104</v>
      </c>
      <c r="N286" s="46">
        <v>4.9</v>
      </c>
      <c r="O286" s="36">
        <f t="shared" si="45"/>
        <v>94</v>
      </c>
      <c r="P286" s="47">
        <f t="shared" si="48"/>
        <v>26791.34615384615</v>
      </c>
      <c r="Q286" s="48">
        <f t="shared" si="40"/>
        <v>42577.54510212671</v>
      </c>
      <c r="R286" s="47">
        <f t="shared" si="50"/>
        <v>-306901.442870407</v>
      </c>
      <c r="S286" s="49">
        <f t="shared" si="51"/>
        <v>-33879.73497310005</v>
      </c>
      <c r="T286" s="40">
        <f t="shared" si="30"/>
        <v>-340781.1778435071</v>
      </c>
      <c r="U286" s="37"/>
      <c r="V286" s="36"/>
      <c r="W286" s="36">
        <f t="shared" si="31"/>
        <v>94</v>
      </c>
      <c r="X286" s="47">
        <f t="shared" si="22"/>
        <v>26791.34615384615</v>
      </c>
      <c r="Y286" s="47">
        <f t="shared" si="32"/>
        <v>0</v>
      </c>
      <c r="Z286" s="47">
        <f t="shared" si="52"/>
        <v>0</v>
      </c>
      <c r="AA286" s="48">
        <f t="shared" si="53"/>
        <v>-56795.23733098889</v>
      </c>
      <c r="AB286" s="49">
        <f t="shared" si="54"/>
        <v>-377497.83943049004</v>
      </c>
      <c r="AC286" s="40">
        <f t="shared" si="49"/>
        <v>-414105.72860176465</v>
      </c>
      <c r="AD286" s="37"/>
      <c r="AE286" s="55">
        <v>1981</v>
      </c>
      <c r="AF286" s="56">
        <v>94.8671</v>
      </c>
      <c r="AG286">
        <v>95.0521</v>
      </c>
      <c r="AH286">
        <v>563.5617</v>
      </c>
      <c r="AI286" s="61">
        <f t="shared" si="41"/>
        <v>-0.04923255778992684</v>
      </c>
      <c r="AJ286" s="61">
        <f t="shared" si="42"/>
        <v>0.0897683275951218</v>
      </c>
      <c r="AK286" s="61">
        <f t="shared" si="43"/>
        <v>0.14596443039297693</v>
      </c>
      <c r="AL286" s="61">
        <f t="shared" si="44"/>
        <v>0.02588749518238299</v>
      </c>
      <c r="AM286" s="65">
        <v>0.08922363847045195</v>
      </c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</row>
    <row r="287" spans="3:59" ht="15" hidden="1">
      <c r="C287" s="54">
        <f t="shared" si="24"/>
        <v>0.1360357934137421</v>
      </c>
      <c r="D287" s="64">
        <f t="shared" si="25"/>
        <v>0.0379098360655738</v>
      </c>
      <c r="E287" s="54">
        <f t="shared" si="26"/>
        <v>-0.007766484904255842</v>
      </c>
      <c r="F287" s="54">
        <f t="shared" si="27"/>
        <v>0.03386809269162203</v>
      </c>
      <c r="G287" s="41">
        <f t="shared" si="46"/>
        <v>0.07</v>
      </c>
      <c r="H287" s="44">
        <f t="shared" si="47"/>
        <v>0.05</v>
      </c>
      <c r="I287" s="8">
        <f t="shared" si="36"/>
        <v>0.3572180671114666</v>
      </c>
      <c r="J287" s="69">
        <f t="shared" si="37"/>
        <v>-0.007766484904255842</v>
      </c>
      <c r="K287" s="69">
        <f t="shared" si="38"/>
        <v>0.03386809269162203</v>
      </c>
      <c r="L287" s="45">
        <f t="shared" si="39"/>
        <v>5.394230769230767</v>
      </c>
      <c r="M287" s="36">
        <v>105</v>
      </c>
      <c r="N287" s="46">
        <v>4.5</v>
      </c>
      <c r="O287" s="36">
        <f t="shared" si="45"/>
        <v>95</v>
      </c>
      <c r="P287" s="47">
        <f t="shared" si="48"/>
        <v>27510.576923076915</v>
      </c>
      <c r="Q287" s="48">
        <f t="shared" si="40"/>
        <v>33879.73497310005</v>
      </c>
      <c r="R287" s="47">
        <f t="shared" si="50"/>
        <v>-376673.83462537144</v>
      </c>
      <c r="S287" s="49">
        <f t="shared" si="51"/>
        <v>-19481.485987094835</v>
      </c>
      <c r="T287" s="40">
        <f t="shared" si="30"/>
        <v>-396155.32061246625</v>
      </c>
      <c r="U287" s="37"/>
      <c r="V287" s="36"/>
      <c r="W287" s="36">
        <f t="shared" si="31"/>
        <v>95</v>
      </c>
      <c r="X287" s="47">
        <f t="shared" si="22"/>
        <v>27510.576923076915</v>
      </c>
      <c r="Y287" s="47">
        <f t="shared" si="32"/>
        <v>0</v>
      </c>
      <c r="Z287" s="47">
        <f t="shared" si="52"/>
        <v>0</v>
      </c>
      <c r="AA287" s="48">
        <f t="shared" si="53"/>
        <v>-61501.464687109896</v>
      </c>
      <c r="AB287" s="49">
        <f t="shared" si="54"/>
        <v>-425166.86464979494</v>
      </c>
      <c r="AC287" s="40">
        <f t="shared" si="49"/>
        <v>-464698.89499685133</v>
      </c>
      <c r="AD287" s="37"/>
      <c r="AE287" s="55">
        <v>1982</v>
      </c>
      <c r="AF287" s="56">
        <v>115.3078</v>
      </c>
      <c r="AG287">
        <v>128.2237</v>
      </c>
      <c r="AH287">
        <v>625.2067</v>
      </c>
      <c r="AI287" s="61">
        <f t="shared" si="41"/>
        <v>0.21546668971645605</v>
      </c>
      <c r="AJ287" s="61">
        <f t="shared" si="42"/>
        <v>0.34898334702757766</v>
      </c>
      <c r="AK287" s="61">
        <f t="shared" si="43"/>
        <v>0.10938465122807314</v>
      </c>
      <c r="AL287" s="61">
        <f t="shared" si="44"/>
        <v>0.2582651487920664</v>
      </c>
      <c r="AM287" s="65">
        <v>0.03829787234042547</v>
      </c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</row>
    <row r="288" spans="3:59" ht="15" hidden="1">
      <c r="C288" s="54">
        <f t="shared" si="24"/>
        <v>0.09467791085794978</v>
      </c>
      <c r="D288" s="64">
        <f t="shared" si="25"/>
        <v>0.039486673247778874</v>
      </c>
      <c r="E288" s="54">
        <f t="shared" si="26"/>
        <v>-0.02525528655985316</v>
      </c>
      <c r="F288" s="54">
        <f t="shared" si="27"/>
        <v>0.015517241379310279</v>
      </c>
      <c r="G288" s="41">
        <f t="shared" si="46"/>
        <v>0.07</v>
      </c>
      <c r="H288" s="44">
        <f t="shared" si="47"/>
        <v>0.05</v>
      </c>
      <c r="I288" s="8">
        <f t="shared" si="36"/>
        <v>0.3590041574470238</v>
      </c>
      <c r="J288" s="69">
        <f t="shared" si="37"/>
        <v>-0.02525528655985316</v>
      </c>
      <c r="K288" s="69">
        <f t="shared" si="38"/>
        <v>0.015517241379310279</v>
      </c>
      <c r="L288" s="45">
        <f t="shared" si="39"/>
        <v>5.576923076923074</v>
      </c>
      <c r="M288" s="36">
        <v>106</v>
      </c>
      <c r="N288" s="46">
        <v>4.2</v>
      </c>
      <c r="O288" s="36">
        <f t="shared" si="45"/>
        <v>96</v>
      </c>
      <c r="P288" s="47">
        <f t="shared" si="48"/>
        <v>28442.307692307677</v>
      </c>
      <c r="Q288" s="48">
        <f t="shared" si="40"/>
        <v>19481.485987094835</v>
      </c>
      <c r="R288" s="47">
        <f t="shared" si="50"/>
        <v>-407496.574722911</v>
      </c>
      <c r="S288" s="49">
        <f t="shared" si="51"/>
        <v>-13030.971232290383</v>
      </c>
      <c r="T288" s="40">
        <f t="shared" si="30"/>
        <v>-420527.5459552014</v>
      </c>
      <c r="U288" s="37"/>
      <c r="V288" s="36"/>
      <c r="W288" s="36">
        <f t="shared" si="31"/>
        <v>96</v>
      </c>
      <c r="X288" s="47">
        <f t="shared" si="22"/>
        <v>28442.307692307677</v>
      </c>
      <c r="Y288" s="47">
        <f t="shared" si="32"/>
        <v>0</v>
      </c>
      <c r="Z288" s="47">
        <f t="shared" si="52"/>
        <v>0</v>
      </c>
      <c r="AA288" s="48">
        <f t="shared" si="53"/>
        <v>-61023.814490027835</v>
      </c>
      <c r="AB288" s="49">
        <f t="shared" si="54"/>
        <v>-450486.2736343334</v>
      </c>
      <c r="AC288" s="40">
        <f t="shared" si="49"/>
        <v>-489602.2850191653</v>
      </c>
      <c r="AD288" s="37"/>
      <c r="AE288" s="55">
        <v>1983</v>
      </c>
      <c r="AF288" s="56">
        <v>141.3155</v>
      </c>
      <c r="AG288">
        <v>137.6054</v>
      </c>
      <c r="AH288">
        <v>681.4379</v>
      </c>
      <c r="AI288" s="61">
        <f t="shared" si="41"/>
        <v>0.2255502229684374</v>
      </c>
      <c r="AJ288" s="61">
        <f t="shared" si="42"/>
        <v>0.07316666107747627</v>
      </c>
      <c r="AK288" s="61">
        <f t="shared" si="43"/>
        <v>0.08994017498532896</v>
      </c>
      <c r="AL288" s="61">
        <f t="shared" si="44"/>
        <v>0.15103579341374213</v>
      </c>
      <c r="AM288" s="65">
        <v>0.0379098360655738</v>
      </c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</row>
    <row r="289" spans="3:59" ht="15" hidden="1">
      <c r="C289" s="54">
        <f t="shared" si="24"/>
        <v>0.26928964509186937</v>
      </c>
      <c r="D289" s="64">
        <f t="shared" si="25"/>
        <v>0.03798670465337132</v>
      </c>
      <c r="E289" s="54">
        <f t="shared" si="26"/>
        <v>-0.07916990650512978</v>
      </c>
      <c r="F289" s="54">
        <f t="shared" si="27"/>
        <v>0.023769100169779386</v>
      </c>
      <c r="G289" s="41">
        <f t="shared" si="46"/>
        <v>0.07</v>
      </c>
      <c r="H289" s="44">
        <f t="shared" si="47"/>
        <v>0.05</v>
      </c>
      <c r="I289" s="8">
        <f t="shared" si="36"/>
        <v>0.36079917823425883</v>
      </c>
      <c r="J289" s="69">
        <f t="shared" si="37"/>
        <v>-0.07916990650512978</v>
      </c>
      <c r="K289" s="69">
        <f t="shared" si="38"/>
        <v>0.023769100169779386</v>
      </c>
      <c r="L289" s="45">
        <f t="shared" si="39"/>
        <v>5.663461538461536</v>
      </c>
      <c r="M289" s="36">
        <v>107</v>
      </c>
      <c r="N289" s="46">
        <v>3.9</v>
      </c>
      <c r="O289" s="36">
        <f t="shared" si="45"/>
        <v>97</v>
      </c>
      <c r="P289" s="47">
        <f t="shared" si="48"/>
        <v>28883.653846153833</v>
      </c>
      <c r="Q289" s="48">
        <f t="shared" si="40"/>
        <v>13030.971232290383</v>
      </c>
      <c r="R289" s="47">
        <f t="shared" si="50"/>
        <v>-416440.6126876121</v>
      </c>
      <c r="S289" s="49">
        <f t="shared" si="51"/>
        <v>-21708.309338709816</v>
      </c>
      <c r="T289" s="40">
        <f t="shared" si="30"/>
        <v>-438148.92202632193</v>
      </c>
      <c r="U289" s="37"/>
      <c r="V289" s="36"/>
      <c r="W289" s="36">
        <f t="shared" si="31"/>
        <v>97</v>
      </c>
      <c r="X289" s="47">
        <f t="shared" si="22"/>
        <v>28883.653846153833</v>
      </c>
      <c r="Y289" s="47">
        <f t="shared" si="32"/>
        <v>0</v>
      </c>
      <c r="Z289" s="47">
        <f t="shared" si="52"/>
        <v>0</v>
      </c>
      <c r="AA289" s="48">
        <f t="shared" si="53"/>
        <v>-59482.64056810686</v>
      </c>
      <c r="AB289" s="49">
        <f t="shared" si="54"/>
        <v>-471405.64948211145</v>
      </c>
      <c r="AC289" s="40">
        <f t="shared" si="49"/>
        <v>-509427.00221404154</v>
      </c>
      <c r="AD289" s="37"/>
      <c r="AE289" s="55">
        <v>1984</v>
      </c>
      <c r="AF289" s="56">
        <v>150.1814</v>
      </c>
      <c r="AG289">
        <v>161.1402</v>
      </c>
      <c r="AH289">
        <v>748.8751</v>
      </c>
      <c r="AI289" s="61">
        <f t="shared" si="41"/>
        <v>0.06273834080479503</v>
      </c>
      <c r="AJ289" s="61">
        <f t="shared" si="42"/>
        <v>0.17103107872220122</v>
      </c>
      <c r="AK289" s="61">
        <f t="shared" si="43"/>
        <v>0.09896308966671792</v>
      </c>
      <c r="AL289" s="61">
        <f t="shared" si="44"/>
        <v>0.10967791085794978</v>
      </c>
      <c r="AM289" s="65">
        <v>0.039486673247778874</v>
      </c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</row>
    <row r="290" spans="3:59" ht="15" hidden="1">
      <c r="C290" s="54">
        <f t="shared" si="24"/>
        <v>0.1680686900215903</v>
      </c>
      <c r="D290" s="64">
        <f t="shared" si="25"/>
        <v>0.010978956999085113</v>
      </c>
      <c r="E290" s="54">
        <f t="shared" si="26"/>
        <v>0.16636718577917603</v>
      </c>
      <c r="F290" s="54">
        <f t="shared" si="27"/>
        <v>0.01879491431730241</v>
      </c>
      <c r="G290" s="41">
        <f aca="true" t="shared" si="55" ref="G290:G318">G289</f>
        <v>0.07</v>
      </c>
      <c r="H290" s="44">
        <f aca="true" t="shared" si="56" ref="H290:H318">H289</f>
        <v>0.05</v>
      </c>
      <c r="I290" s="8">
        <f t="shared" si="36"/>
        <v>0.36260317412543014</v>
      </c>
      <c r="J290" s="69">
        <f t="shared" si="37"/>
        <v>0.16636718577917603</v>
      </c>
      <c r="K290" s="69">
        <f t="shared" si="38"/>
        <v>0.01879491431730241</v>
      </c>
      <c r="L290" s="45">
        <f t="shared" si="39"/>
        <v>5.79807692307692</v>
      </c>
      <c r="M290" s="36">
        <v>108</v>
      </c>
      <c r="N290" s="46">
        <v>3.7</v>
      </c>
      <c r="O290" s="36">
        <f t="shared" si="45"/>
        <v>98</v>
      </c>
      <c r="P290" s="47">
        <f t="shared" si="48"/>
        <v>29570.19230769229</v>
      </c>
      <c r="Q290" s="48">
        <f t="shared" si="40"/>
        <v>21708.309338709816</v>
      </c>
      <c r="R290" s="47">
        <f t="shared" si="50"/>
        <v>-395986.1891614196</v>
      </c>
      <c r="S290" s="49">
        <f t="shared" si="51"/>
        <v>-36061.31654919213</v>
      </c>
      <c r="T290" s="40">
        <f t="shared" si="30"/>
        <v>-432047.5057106117</v>
      </c>
      <c r="U290" s="37"/>
      <c r="V290" s="36"/>
      <c r="W290" s="36">
        <f t="shared" si="31"/>
        <v>98</v>
      </c>
      <c r="X290" s="47">
        <f t="shared" si="22"/>
        <v>29570.19230769229</v>
      </c>
      <c r="Y290" s="47">
        <f t="shared" si="32"/>
        <v>0</v>
      </c>
      <c r="Z290" s="47">
        <f t="shared" si="52"/>
        <v>0</v>
      </c>
      <c r="AA290" s="48">
        <f t="shared" si="53"/>
        <v>-54773.4054756516</v>
      </c>
      <c r="AB290" s="49">
        <f t="shared" si="54"/>
        <v>-475702.76377792243</v>
      </c>
      <c r="AC290" s="40">
        <f t="shared" si="49"/>
        <v>-510615.1585704436</v>
      </c>
      <c r="AD290" s="37"/>
      <c r="AE290" s="55">
        <v>1985</v>
      </c>
      <c r="AF290" s="56">
        <v>197.8289</v>
      </c>
      <c r="AG290">
        <v>208.6548</v>
      </c>
      <c r="AH290">
        <v>806.6171</v>
      </c>
      <c r="AI290" s="61">
        <f t="shared" si="41"/>
        <v>0.31726631926456944</v>
      </c>
      <c r="AJ290" s="61">
        <f t="shared" si="42"/>
        <v>0.2948649685180979</v>
      </c>
      <c r="AK290" s="61">
        <f t="shared" si="43"/>
        <v>0.07710498052345455</v>
      </c>
      <c r="AL290" s="61">
        <f t="shared" si="44"/>
        <v>0.2842896450918694</v>
      </c>
      <c r="AM290" s="65">
        <v>0.03798670465337132</v>
      </c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</row>
    <row r="291" spans="3:59" ht="15" hidden="1">
      <c r="C291" s="54">
        <f t="shared" si="24"/>
        <v>0.010817075966944676</v>
      </c>
      <c r="D291" s="64">
        <f t="shared" si="25"/>
        <v>0.04434389140271498</v>
      </c>
      <c r="E291" s="54">
        <f t="shared" si="26"/>
        <v>0.06688169464235967</v>
      </c>
      <c r="F291" s="54">
        <f t="shared" si="27"/>
        <v>0.032555615843733045</v>
      </c>
      <c r="G291" s="41">
        <f t="shared" si="55"/>
        <v>0.07</v>
      </c>
      <c r="H291" s="44">
        <f t="shared" si="56"/>
        <v>0.05</v>
      </c>
      <c r="I291" s="8">
        <f t="shared" si="36"/>
        <v>0.36441618999605724</v>
      </c>
      <c r="J291" s="69">
        <f t="shared" si="37"/>
        <v>0.06688169464235967</v>
      </c>
      <c r="K291" s="69">
        <f t="shared" si="38"/>
        <v>0.032555615843733045</v>
      </c>
      <c r="L291" s="45">
        <f t="shared" si="39"/>
        <v>5.907051282051279</v>
      </c>
      <c r="M291" s="36">
        <v>109</v>
      </c>
      <c r="N291" s="46">
        <v>3.4</v>
      </c>
      <c r="O291" s="36">
        <f t="shared" si="45"/>
        <v>99</v>
      </c>
      <c r="P291" s="47">
        <f t="shared" si="48"/>
        <v>30125.961538461524</v>
      </c>
      <c r="Q291" s="48">
        <f t="shared" si="40"/>
        <v>36061.31654919213</v>
      </c>
      <c r="R291" s="47">
        <f t="shared" si="50"/>
        <v>-485379.38156468765</v>
      </c>
      <c r="S291" s="49">
        <f t="shared" si="51"/>
        <v>-48164.05519104492</v>
      </c>
      <c r="T291" s="40">
        <f t="shared" si="30"/>
        <v>-533543.4367557325</v>
      </c>
      <c r="U291" s="37"/>
      <c r="V291" s="36"/>
      <c r="W291" s="36">
        <f t="shared" si="31"/>
        <v>99</v>
      </c>
      <c r="X291" s="47">
        <f t="shared" si="22"/>
        <v>30125.961538461524</v>
      </c>
      <c r="Y291" s="47">
        <f t="shared" si="32"/>
        <v>0</v>
      </c>
      <c r="Z291" s="47">
        <f t="shared" si="52"/>
        <v>0</v>
      </c>
      <c r="AA291" s="48">
        <f t="shared" si="53"/>
        <v>-63885.902800177464</v>
      </c>
      <c r="AB291" s="49">
        <f t="shared" si="54"/>
        <v>-557285.2285988025</v>
      </c>
      <c r="AC291" s="40">
        <f t="shared" si="49"/>
        <v>-597890.0741060808</v>
      </c>
      <c r="AD291" s="37"/>
      <c r="AE291" s="55">
        <v>1986</v>
      </c>
      <c r="AF291" s="56">
        <v>234.7546</v>
      </c>
      <c r="AG291">
        <v>252.2908</v>
      </c>
      <c r="AH291">
        <v>855.7343</v>
      </c>
      <c r="AI291" s="61">
        <f t="shared" si="41"/>
        <v>0.186654730426141</v>
      </c>
      <c r="AJ291" s="61">
        <f t="shared" si="42"/>
        <v>0.20913010388450204</v>
      </c>
      <c r="AK291" s="61">
        <f t="shared" si="43"/>
        <v>0.06089283254718987</v>
      </c>
      <c r="AL291" s="61">
        <f t="shared" si="44"/>
        <v>0.18306869002159032</v>
      </c>
      <c r="AM291" s="65">
        <v>0.010978956999085113</v>
      </c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</row>
    <row r="292" spans="3:59" ht="15" hidden="1">
      <c r="C292" s="54">
        <f t="shared" si="24"/>
        <v>0.13015215212668296</v>
      </c>
      <c r="D292" s="64">
        <f t="shared" si="25"/>
        <v>0.044194107452339634</v>
      </c>
      <c r="E292" s="54">
        <f t="shared" si="26"/>
        <v>0.04391409456663173</v>
      </c>
      <c r="F292" s="54">
        <f t="shared" si="27"/>
        <v>0.03415659485023647</v>
      </c>
      <c r="G292" s="41">
        <f t="shared" si="55"/>
        <v>0.07</v>
      </c>
      <c r="H292" s="44">
        <f t="shared" si="56"/>
        <v>0.05</v>
      </c>
      <c r="I292" s="8">
        <f t="shared" si="36"/>
        <v>0.3662382709460375</v>
      </c>
      <c r="J292" s="69">
        <f t="shared" si="37"/>
        <v>0.04391409456663173</v>
      </c>
      <c r="K292" s="69">
        <f t="shared" si="38"/>
        <v>0.03415659485023647</v>
      </c>
      <c r="L292" s="45">
        <f t="shared" si="39"/>
        <v>6.099358974358971</v>
      </c>
      <c r="M292" s="36">
        <v>110</v>
      </c>
      <c r="N292" s="46">
        <v>3.1</v>
      </c>
      <c r="O292" s="36">
        <f t="shared" si="45"/>
        <v>100</v>
      </c>
      <c r="P292" s="47">
        <f t="shared" si="48"/>
        <v>31106.73076923075</v>
      </c>
      <c r="Q292" s="48">
        <f t="shared" si="40"/>
        <v>48164.05519104492</v>
      </c>
      <c r="R292" s="47">
        <f t="shared" si="50"/>
        <v>-555109.6146783088</v>
      </c>
      <c r="S292" s="49">
        <f t="shared" si="51"/>
        <v>-44149.949487610385</v>
      </c>
      <c r="T292" s="40">
        <f t="shared" si="30"/>
        <v>-599259.5641659192</v>
      </c>
      <c r="U292" s="37"/>
      <c r="V292" s="36"/>
      <c r="W292" s="36">
        <f t="shared" si="31"/>
        <v>100</v>
      </c>
      <c r="X292" s="47">
        <f t="shared" si="22"/>
        <v>31106.73076923075</v>
      </c>
      <c r="Y292" s="47">
        <f t="shared" si="32"/>
        <v>0</v>
      </c>
      <c r="Z292" s="47">
        <f t="shared" si="52"/>
        <v>0</v>
      </c>
      <c r="AA292" s="48">
        <f t="shared" si="53"/>
        <v>-68158.7002432104</v>
      </c>
      <c r="AB292" s="49">
        <f t="shared" si="54"/>
        <v>-611741.0956980119</v>
      </c>
      <c r="AC292" s="40">
        <f t="shared" si="49"/>
        <v>-654937.4714142197</v>
      </c>
      <c r="AD292" s="37"/>
      <c r="AE292" s="55">
        <v>1987</v>
      </c>
      <c r="AF292" s="56">
        <v>247.08</v>
      </c>
      <c r="AG292">
        <v>248.3101</v>
      </c>
      <c r="AH292">
        <v>906.0232</v>
      </c>
      <c r="AI292" s="61">
        <f t="shared" si="41"/>
        <v>0.05250333752778434</v>
      </c>
      <c r="AJ292" s="61">
        <f t="shared" si="42"/>
        <v>-0.015778221005284317</v>
      </c>
      <c r="AK292" s="61">
        <f t="shared" si="43"/>
        <v>0.058766956051662315</v>
      </c>
      <c r="AL292" s="61">
        <f t="shared" si="44"/>
        <v>0.025817075966944675</v>
      </c>
      <c r="AM292" s="65">
        <v>0.04434389140271498</v>
      </c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</row>
    <row r="293" spans="3:59" ht="15" hidden="1">
      <c r="C293" s="54">
        <f t="shared" si="24"/>
        <v>0.21310573860483206</v>
      </c>
      <c r="D293" s="64">
        <f t="shared" si="25"/>
        <v>0.046473029045643106</v>
      </c>
      <c r="E293" s="54">
        <f t="shared" si="26"/>
        <v>0.08549718317042199</v>
      </c>
      <c r="F293" s="54">
        <f t="shared" si="27"/>
        <v>0.02540650406504065</v>
      </c>
      <c r="G293" s="41">
        <f t="shared" si="55"/>
        <v>0.07</v>
      </c>
      <c r="H293" s="44">
        <f t="shared" si="56"/>
        <v>0.05</v>
      </c>
      <c r="I293" s="8">
        <f t="shared" si="36"/>
        <v>0.3680694623007676</v>
      </c>
      <c r="J293" s="69">
        <f t="shared" si="37"/>
        <v>0.08549718317042199</v>
      </c>
      <c r="K293" s="69">
        <f t="shared" si="38"/>
        <v>0.02540650406504065</v>
      </c>
      <c r="L293" s="45">
        <f t="shared" si="39"/>
        <v>6.307692307692304</v>
      </c>
      <c r="M293" s="36">
        <v>111</v>
      </c>
      <c r="N293" s="46">
        <v>2.9</v>
      </c>
      <c r="O293" s="36">
        <f t="shared" si="45"/>
        <v>101</v>
      </c>
      <c r="P293" s="47">
        <f t="shared" si="48"/>
        <v>32169.23076923075</v>
      </c>
      <c r="Q293" s="48">
        <f t="shared" si="40"/>
        <v>44149.949487610385</v>
      </c>
      <c r="R293" s="47">
        <f t="shared" si="50"/>
        <v>-628708.3464203695</v>
      </c>
      <c r="S293" s="49">
        <f t="shared" si="51"/>
        <v>-28084.003694622526</v>
      </c>
      <c r="T293" s="40">
        <f t="shared" si="30"/>
        <v>-656792.350114992</v>
      </c>
      <c r="U293" s="37"/>
      <c r="V293" s="36"/>
      <c r="W293" s="36">
        <f t="shared" si="31"/>
        <v>101</v>
      </c>
      <c r="X293" s="47">
        <f t="shared" si="22"/>
        <v>32169.23076923075</v>
      </c>
      <c r="Y293" s="47">
        <f t="shared" si="32"/>
        <v>0</v>
      </c>
      <c r="Z293" s="47">
        <f t="shared" si="52"/>
        <v>0</v>
      </c>
      <c r="AA293" s="48">
        <f t="shared" si="53"/>
        <v>-71151.82785122945</v>
      </c>
      <c r="AB293" s="49">
        <f t="shared" si="54"/>
        <v>-660306.1040939796</v>
      </c>
      <c r="AC293" s="40">
        <f t="shared" si="49"/>
        <v>-705269.1169262902</v>
      </c>
      <c r="AD293" s="37"/>
      <c r="AE293" s="55">
        <v>1988</v>
      </c>
      <c r="AF293" s="56">
        <v>288.116</v>
      </c>
      <c r="AG293">
        <v>282.5593</v>
      </c>
      <c r="AH293">
        <v>968.8882</v>
      </c>
      <c r="AI293" s="61">
        <f t="shared" si="41"/>
        <v>0.16608385947871124</v>
      </c>
      <c r="AJ293" s="61">
        <f t="shared" si="42"/>
        <v>0.13792914585431684</v>
      </c>
      <c r="AK293" s="61">
        <f t="shared" si="43"/>
        <v>0.069385640456006</v>
      </c>
      <c r="AL293" s="61">
        <f t="shared" si="44"/>
        <v>0.14515215212668295</v>
      </c>
      <c r="AM293" s="65">
        <v>0.044194107452339634</v>
      </c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</row>
    <row r="294" spans="3:59" ht="15" hidden="1">
      <c r="C294" s="54">
        <f t="shared" si="24"/>
        <v>0.01159971460295798</v>
      </c>
      <c r="D294" s="64">
        <f t="shared" si="25"/>
        <v>0.06106264869151481</v>
      </c>
      <c r="E294" s="54">
        <f t="shared" si="26"/>
        <v>0.03596154210381997</v>
      </c>
      <c r="F294" s="54">
        <f t="shared" si="27"/>
        <v>0.041</v>
      </c>
      <c r="G294" s="41">
        <f t="shared" si="55"/>
        <v>0.07</v>
      </c>
      <c r="H294" s="44">
        <f t="shared" si="56"/>
        <v>0.05</v>
      </c>
      <c r="I294" s="8">
        <f t="shared" si="36"/>
        <v>0.3699098096122714</v>
      </c>
      <c r="J294" s="69">
        <f t="shared" si="37"/>
        <v>0.03596154210381997</v>
      </c>
      <c r="K294" s="69">
        <f t="shared" si="38"/>
        <v>0.041</v>
      </c>
      <c r="L294" s="45">
        <f t="shared" si="39"/>
        <v>6.467948717948714</v>
      </c>
      <c r="M294" s="36">
        <v>112</v>
      </c>
      <c r="N294" s="46">
        <v>2.6</v>
      </c>
      <c r="O294" s="36">
        <f t="shared" si="45"/>
        <v>102</v>
      </c>
      <c r="P294" s="47">
        <f t="shared" si="48"/>
        <v>32986.53846153844</v>
      </c>
      <c r="Q294" s="48">
        <f t="shared" si="40"/>
        <v>28084.003694622526</v>
      </c>
      <c r="R294" s="47">
        <f t="shared" si="50"/>
        <v>-728498.436721809</v>
      </c>
      <c r="S294" s="49">
        <f t="shared" si="51"/>
        <v>-17296.966599223808</v>
      </c>
      <c r="T294" s="40">
        <f t="shared" si="30"/>
        <v>-745795.4033210328</v>
      </c>
      <c r="U294" s="37"/>
      <c r="V294" s="36"/>
      <c r="W294" s="36">
        <f t="shared" si="31"/>
        <v>102</v>
      </c>
      <c r="X294" s="47">
        <f t="shared" si="22"/>
        <v>32986.53846153844</v>
      </c>
      <c r="Y294" s="47">
        <f t="shared" si="32"/>
        <v>0</v>
      </c>
      <c r="Z294" s="47">
        <f t="shared" si="52"/>
        <v>0</v>
      </c>
      <c r="AA294" s="48">
        <f t="shared" si="53"/>
        <v>-77235.10870993635</v>
      </c>
      <c r="AB294" s="49">
        <f t="shared" si="54"/>
        <v>-729019.5626754401</v>
      </c>
      <c r="AC294" s="40">
        <f t="shared" si="49"/>
        <v>-777684.6470271008</v>
      </c>
      <c r="AD294" s="37"/>
      <c r="AE294" s="55">
        <v>1989</v>
      </c>
      <c r="AF294" s="56">
        <v>379.409</v>
      </c>
      <c r="AG294">
        <v>325.8181</v>
      </c>
      <c r="AH294">
        <v>1050.6257</v>
      </c>
      <c r="AI294" s="61">
        <f t="shared" si="41"/>
        <v>0.3168619583778756</v>
      </c>
      <c r="AJ294" s="61">
        <f t="shared" si="42"/>
        <v>0.15309635888820508</v>
      </c>
      <c r="AK294" s="61">
        <f t="shared" si="43"/>
        <v>0.08436215860612202</v>
      </c>
      <c r="AL294" s="61">
        <f t="shared" si="44"/>
        <v>0.22810573860483205</v>
      </c>
      <c r="AM294" s="65">
        <v>0.046473029045643106</v>
      </c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</row>
    <row r="295" spans="3:59" ht="15" hidden="1">
      <c r="C295" s="54">
        <f t="shared" si="24"/>
        <v>0.2062224301078372</v>
      </c>
      <c r="D295" s="64">
        <f t="shared" si="25"/>
        <v>0.030642750373692032</v>
      </c>
      <c r="E295" s="54">
        <f t="shared" si="26"/>
        <v>-0.144946586652289</v>
      </c>
      <c r="F295" s="54">
        <f t="shared" si="27"/>
        <v>0.001</v>
      </c>
      <c r="G295" s="41">
        <f t="shared" si="55"/>
        <v>0.07</v>
      </c>
      <c r="H295" s="44">
        <f t="shared" si="56"/>
        <v>0.05</v>
      </c>
      <c r="I295" s="8">
        <f t="shared" si="36"/>
        <v>0.3717593586603327</v>
      </c>
      <c r="J295" s="69">
        <f t="shared" si="37"/>
        <v>-0.144946586652289</v>
      </c>
      <c r="K295" s="69">
        <f t="shared" si="38"/>
        <v>0.001</v>
      </c>
      <c r="L295" s="45">
        <f t="shared" si="39"/>
        <v>6.7331346153846106</v>
      </c>
      <c r="M295" s="36">
        <v>113</v>
      </c>
      <c r="N295" s="46">
        <v>2.4</v>
      </c>
      <c r="O295" s="36">
        <f t="shared" si="45"/>
        <v>103</v>
      </c>
      <c r="P295" s="47">
        <f t="shared" si="48"/>
        <v>34338.98653846151</v>
      </c>
      <c r="Q295" s="48">
        <f t="shared" si="40"/>
        <v>17296.966599223808</v>
      </c>
      <c r="R295" s="47">
        <f t="shared" si="50"/>
        <v>-783285.3396618239</v>
      </c>
      <c r="S295" s="49">
        <f t="shared" si="51"/>
        <v>-22646.976894415908</v>
      </c>
      <c r="T295" s="40">
        <f t="shared" si="30"/>
        <v>-805932.3165562398</v>
      </c>
      <c r="U295" s="37"/>
      <c r="V295" s="36"/>
      <c r="W295" s="36">
        <f t="shared" si="31"/>
        <v>103</v>
      </c>
      <c r="X295" s="47">
        <f t="shared" si="22"/>
        <v>34338.98653846151</v>
      </c>
      <c r="Y295" s="47">
        <f t="shared" si="32"/>
        <v>0</v>
      </c>
      <c r="Z295" s="47">
        <f t="shared" si="52"/>
        <v>0</v>
      </c>
      <c r="AA295" s="48">
        <f t="shared" si="53"/>
        <v>-80012.60232370184</v>
      </c>
      <c r="AB295" s="49">
        <f t="shared" si="54"/>
        <v>-778898.6875113582</v>
      </c>
      <c r="AC295" s="40">
        <f t="shared" si="49"/>
        <v>-829165.8561104564</v>
      </c>
      <c r="AD295" s="37"/>
      <c r="AE295" s="55">
        <v>1990</v>
      </c>
      <c r="AF295" s="56">
        <v>367.636</v>
      </c>
      <c r="AG295">
        <v>353.8585</v>
      </c>
      <c r="AH295">
        <v>1131.4191</v>
      </c>
      <c r="AI295" s="61">
        <f t="shared" si="41"/>
        <v>-0.031029838512001476</v>
      </c>
      <c r="AJ295" s="61">
        <f t="shared" si="42"/>
        <v>0.0860615171471443</v>
      </c>
      <c r="AK295" s="61">
        <f t="shared" si="43"/>
        <v>0.0769002700010099</v>
      </c>
      <c r="AL295" s="61">
        <f t="shared" si="44"/>
        <v>0.02659971460295798</v>
      </c>
      <c r="AM295" s="65">
        <v>0.06106264869151481</v>
      </c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</row>
    <row r="296" spans="3:59" ht="15" hidden="1">
      <c r="C296" s="54">
        <f t="shared" si="24"/>
        <v>0.06914639843928778</v>
      </c>
      <c r="D296" s="64">
        <f t="shared" si="25"/>
        <v>0.0290065264684554</v>
      </c>
      <c r="E296" s="54">
        <f t="shared" si="26"/>
        <v>0.05</v>
      </c>
      <c r="F296" s="54">
        <f t="shared" si="27"/>
        <v>0.045</v>
      </c>
      <c r="G296" s="41">
        <f t="shared" si="55"/>
        <v>0.07</v>
      </c>
      <c r="H296" s="44">
        <f t="shared" si="56"/>
        <v>0.05</v>
      </c>
      <c r="I296" s="8">
        <f t="shared" si="36"/>
        <v>0.3736181554536343</v>
      </c>
      <c r="J296" s="69">
        <f t="shared" si="37"/>
        <v>0.05</v>
      </c>
      <c r="K296" s="69">
        <f t="shared" si="38"/>
        <v>0.045</v>
      </c>
      <c r="L296" s="45">
        <f t="shared" si="39"/>
        <v>6.739867749999995</v>
      </c>
      <c r="M296" s="36">
        <v>114</v>
      </c>
      <c r="N296" s="46">
        <v>2.1</v>
      </c>
      <c r="O296" s="36">
        <f t="shared" si="45"/>
        <v>104</v>
      </c>
      <c r="P296" s="47">
        <f t="shared" si="48"/>
        <v>34373.32552499997</v>
      </c>
      <c r="Q296" s="48">
        <f t="shared" si="40"/>
        <v>22646.976894415908</v>
      </c>
      <c r="R296" s="47">
        <f t="shared" si="50"/>
        <v>-685794.2017682896</v>
      </c>
      <c r="S296" s="49">
        <f t="shared" si="51"/>
        <v>-36850.79829197902</v>
      </c>
      <c r="T296" s="40">
        <f t="shared" si="30"/>
        <v>-722645.0000602686</v>
      </c>
      <c r="U296" s="37"/>
      <c r="V296" s="36"/>
      <c r="W296" s="36">
        <f t="shared" si="31"/>
        <v>104</v>
      </c>
      <c r="X296" s="47">
        <f t="shared" si="22"/>
        <v>34373.32552499997</v>
      </c>
      <c r="Y296" s="47">
        <f t="shared" si="32"/>
        <v>0</v>
      </c>
      <c r="Z296" s="47">
        <f t="shared" si="52"/>
        <v>0</v>
      </c>
      <c r="AA296" s="48">
        <f t="shared" si="53"/>
        <v>-68415.04872771425</v>
      </c>
      <c r="AB296" s="49">
        <f t="shared" si="54"/>
        <v>-740746.6415163015</v>
      </c>
      <c r="AC296" s="40">
        <f t="shared" si="49"/>
        <v>-783600.5859330967</v>
      </c>
      <c r="AD296" s="37"/>
      <c r="AE296" s="55">
        <v>1991</v>
      </c>
      <c r="AF296" s="56">
        <v>479.633</v>
      </c>
      <c r="AG296">
        <v>410.0106</v>
      </c>
      <c r="AH296">
        <v>1192.8309</v>
      </c>
      <c r="AI296" s="61">
        <f t="shared" si="41"/>
        <v>0.3046410036013882</v>
      </c>
      <c r="AJ296" s="61">
        <f t="shared" si="42"/>
        <v>0.15868518065837056</v>
      </c>
      <c r="AK296" s="61">
        <f t="shared" si="43"/>
        <v>0.05427856043794899</v>
      </c>
      <c r="AL296" s="61">
        <f t="shared" si="44"/>
        <v>0.2212224301078372</v>
      </c>
      <c r="AM296" s="65">
        <v>0.030642750373692032</v>
      </c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</row>
    <row r="297" spans="3:59" ht="15" hidden="1">
      <c r="C297" s="54">
        <f t="shared" si="24"/>
        <v>0.09707257926734182</v>
      </c>
      <c r="D297" s="64">
        <f t="shared" si="25"/>
        <v>0.02748414376321357</v>
      </c>
      <c r="E297" s="54">
        <f t="shared" si="26"/>
        <v>0.05</v>
      </c>
      <c r="F297" s="54">
        <f t="shared" si="27"/>
        <v>0.045</v>
      </c>
      <c r="G297" s="41">
        <f t="shared" si="55"/>
        <v>0.07</v>
      </c>
      <c r="H297" s="44">
        <f t="shared" si="56"/>
        <v>0.05</v>
      </c>
      <c r="I297" s="8">
        <f t="shared" si="36"/>
        <v>0.3754862462309024</v>
      </c>
      <c r="J297" s="69">
        <f t="shared" si="37"/>
        <v>0.05</v>
      </c>
      <c r="K297" s="69">
        <f t="shared" si="38"/>
        <v>0.045</v>
      </c>
      <c r="L297" s="45">
        <f t="shared" si="39"/>
        <v>7.043161798749994</v>
      </c>
      <c r="M297" s="36"/>
      <c r="N297" s="36"/>
      <c r="O297" s="36">
        <f t="shared" si="45"/>
        <v>105</v>
      </c>
      <c r="P297" s="47">
        <f t="shared" si="48"/>
        <v>35920.12517362497</v>
      </c>
      <c r="Q297" s="48">
        <f t="shared" si="40"/>
        <v>36850.79829197902</v>
      </c>
      <c r="R297" s="47">
        <f t="shared" si="50"/>
        <v>-743297.0631734803</v>
      </c>
      <c r="S297" s="49">
        <f t="shared" si="51"/>
        <v>-49914.90977004534</v>
      </c>
      <c r="T297" s="40">
        <f t="shared" si="30"/>
        <v>-793211.9729435256</v>
      </c>
      <c r="U297" s="37"/>
      <c r="V297" s="36"/>
      <c r="W297" s="36">
        <f t="shared" si="31"/>
        <v>105</v>
      </c>
      <c r="X297" s="47">
        <f t="shared" si="22"/>
        <v>35920.12517362497</v>
      </c>
      <c r="Y297" s="47">
        <f t="shared" si="32"/>
        <v>0</v>
      </c>
      <c r="Z297" s="47">
        <f t="shared" si="52"/>
        <v>0</v>
      </c>
      <c r="AA297" s="48">
        <f t="shared" si="53"/>
        <v>-71835.80116409998</v>
      </c>
      <c r="AB297" s="49">
        <f t="shared" si="54"/>
        <v>-798857.7501001655</v>
      </c>
      <c r="AC297" s="40">
        <f t="shared" si="49"/>
        <v>-843720.1959401681</v>
      </c>
      <c r="AD297" s="37"/>
      <c r="AE297" s="55">
        <v>1992</v>
      </c>
      <c r="AF297" s="56">
        <v>516.178</v>
      </c>
      <c r="AG297">
        <v>453.6437</v>
      </c>
      <c r="AH297">
        <v>1234.3627</v>
      </c>
      <c r="AI297" s="61">
        <f t="shared" si="41"/>
        <v>0.07619367307920852</v>
      </c>
      <c r="AJ297" s="61">
        <f t="shared" si="42"/>
        <v>0.10641944378998985</v>
      </c>
      <c r="AK297" s="61">
        <f t="shared" si="43"/>
        <v>0.03481784383687577</v>
      </c>
      <c r="AL297" s="61">
        <f t="shared" si="44"/>
        <v>0.08414639843928778</v>
      </c>
      <c r="AM297" s="65">
        <v>0.0290065264684554</v>
      </c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</row>
    <row r="298" spans="3:59" ht="15" hidden="1">
      <c r="C298" s="54">
        <f t="shared" si="24"/>
        <v>-0.013750853713357344</v>
      </c>
      <c r="D298" s="64">
        <f t="shared" si="25"/>
        <v>0.02674897119341548</v>
      </c>
      <c r="E298" s="54">
        <f t="shared" si="26"/>
        <v>0.05</v>
      </c>
      <c r="F298" s="54">
        <f t="shared" si="27"/>
        <v>0.045</v>
      </c>
      <c r="G298" s="41">
        <f t="shared" si="55"/>
        <v>0.07</v>
      </c>
      <c r="H298" s="44">
        <f t="shared" si="56"/>
        <v>0.05</v>
      </c>
      <c r="I298" s="8">
        <f t="shared" si="36"/>
        <v>0.37736367746205685</v>
      </c>
      <c r="J298" s="69">
        <f t="shared" si="37"/>
        <v>0.05</v>
      </c>
      <c r="K298" s="69">
        <f t="shared" si="38"/>
        <v>0.045</v>
      </c>
      <c r="L298" s="45">
        <f t="shared" si="39"/>
        <v>7.360104079693743</v>
      </c>
      <c r="M298" s="36"/>
      <c r="N298" s="36"/>
      <c r="O298" s="36">
        <f t="shared" si="45"/>
        <v>106</v>
      </c>
      <c r="P298" s="47">
        <f t="shared" si="48"/>
        <v>37536.53080643809</v>
      </c>
      <c r="Q298" s="48">
        <f t="shared" si="40"/>
        <v>49914.90977004534</v>
      </c>
      <c r="R298" s="47">
        <f t="shared" si="50"/>
        <v>-818233.984581433</v>
      </c>
      <c r="S298" s="49">
        <f t="shared" si="51"/>
        <v>-50528.333581101244</v>
      </c>
      <c r="T298" s="40">
        <f t="shared" si="30"/>
        <v>-868762.3181625343</v>
      </c>
      <c r="U298" s="37"/>
      <c r="V298" s="36"/>
      <c r="W298" s="36">
        <f t="shared" si="31"/>
        <v>106</v>
      </c>
      <c r="X298" s="47">
        <f t="shared" si="22"/>
        <v>37536.53080643809</v>
      </c>
      <c r="Y298" s="47">
        <f t="shared" si="32"/>
        <v>0</v>
      </c>
      <c r="Z298" s="47">
        <f t="shared" si="52"/>
        <v>0</v>
      </c>
      <c r="AA298" s="48">
        <f t="shared" si="53"/>
        <v>-75427.59122230498</v>
      </c>
      <c r="AB298" s="49">
        <f t="shared" si="54"/>
        <v>-860283.573191121</v>
      </c>
      <c r="AC298" s="40">
        <f t="shared" si="49"/>
        <v>-907247.5312076722</v>
      </c>
      <c r="AD298" s="37"/>
      <c r="AE298" s="55">
        <v>1993</v>
      </c>
      <c r="AF298" s="56">
        <v>568.202</v>
      </c>
      <c r="AG298">
        <v>520.1567</v>
      </c>
      <c r="AH298">
        <v>1271.7802</v>
      </c>
      <c r="AI298" s="61">
        <f t="shared" si="41"/>
        <v>0.1007869378392725</v>
      </c>
      <c r="AJ298" s="61">
        <f t="shared" si="42"/>
        <v>0.14661947250672713</v>
      </c>
      <c r="AK298" s="61">
        <f t="shared" si="43"/>
        <v>0.030313213450147206</v>
      </c>
      <c r="AL298" s="61">
        <f t="shared" si="44"/>
        <v>0.11207257926734182</v>
      </c>
      <c r="AM298" s="65">
        <v>0.02748414376321357</v>
      </c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</row>
    <row r="299" spans="3:59" ht="15" hidden="1">
      <c r="C299" s="54">
        <f t="shared" si="24"/>
        <v>0.26645935617323263</v>
      </c>
      <c r="D299" s="64">
        <f t="shared" si="25"/>
        <v>0.025384101536406224</v>
      </c>
      <c r="E299" s="54">
        <f t="shared" si="26"/>
        <v>0.05</v>
      </c>
      <c r="F299" s="54">
        <f t="shared" si="27"/>
        <v>0.045</v>
      </c>
      <c r="G299" s="41">
        <f t="shared" si="55"/>
        <v>0.07</v>
      </c>
      <c r="H299" s="44">
        <f t="shared" si="56"/>
        <v>0.05</v>
      </c>
      <c r="I299" s="8">
        <f t="shared" si="36"/>
        <v>0.37925049584936704</v>
      </c>
      <c r="J299" s="69">
        <f t="shared" si="37"/>
        <v>0.05</v>
      </c>
      <c r="K299" s="69">
        <f t="shared" si="38"/>
        <v>0.045</v>
      </c>
      <c r="L299" s="45">
        <f t="shared" si="39"/>
        <v>7.691308763279961</v>
      </c>
      <c r="M299" s="36"/>
      <c r="N299" s="36"/>
      <c r="O299" s="36">
        <f t="shared" si="45"/>
        <v>107</v>
      </c>
      <c r="P299" s="47">
        <f t="shared" si="48"/>
        <v>39225.6746927278</v>
      </c>
      <c r="Q299" s="48">
        <f t="shared" si="40"/>
        <v>50528.333581101244</v>
      </c>
      <c r="R299" s="47">
        <f t="shared" si="50"/>
        <v>-910308.4663248012</v>
      </c>
      <c r="S299" s="49">
        <f t="shared" si="51"/>
        <v>-39530.31269881732</v>
      </c>
      <c r="T299" s="40">
        <f t="shared" si="30"/>
        <v>-949838.7790236186</v>
      </c>
      <c r="U299" s="37"/>
      <c r="V299" s="36"/>
      <c r="W299" s="36">
        <f t="shared" si="31"/>
        <v>107</v>
      </c>
      <c r="X299" s="47">
        <f t="shared" si="22"/>
        <v>39225.6746927278</v>
      </c>
      <c r="Y299" s="47">
        <f t="shared" si="32"/>
        <v>0</v>
      </c>
      <c r="Z299" s="47">
        <f t="shared" si="52"/>
        <v>0</v>
      </c>
      <c r="AA299" s="48">
        <f t="shared" si="53"/>
        <v>-79198.97078342023</v>
      </c>
      <c r="AB299" s="49">
        <f t="shared" si="54"/>
        <v>-925186.584202689</v>
      </c>
      <c r="AC299" s="40">
        <f t="shared" si="49"/>
        <v>-974349.3060457376</v>
      </c>
      <c r="AD299" s="37"/>
      <c r="AE299" s="55">
        <v>1994</v>
      </c>
      <c r="AF299" s="56">
        <v>575.705</v>
      </c>
      <c r="AG299">
        <v>507.4925</v>
      </c>
      <c r="AH299">
        <v>1327.5541</v>
      </c>
      <c r="AI299" s="61">
        <f t="shared" si="41"/>
        <v>0.013204810965114595</v>
      </c>
      <c r="AJ299" s="61">
        <f t="shared" si="42"/>
        <v>-0.02434689392638794</v>
      </c>
      <c r="AK299" s="61">
        <f t="shared" si="43"/>
        <v>0.04385498374640535</v>
      </c>
      <c r="AL299" s="61">
        <f t="shared" si="44"/>
        <v>0.0012491462866426554</v>
      </c>
      <c r="AM299" s="65">
        <v>0.02674897119341548</v>
      </c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</row>
    <row r="300" spans="3:59" ht="15" hidden="1">
      <c r="C300" s="54">
        <f t="shared" si="24"/>
        <v>0.12189226456850662</v>
      </c>
      <c r="D300" s="64">
        <f t="shared" si="25"/>
        <v>0.033224755700325695</v>
      </c>
      <c r="E300" s="54">
        <f t="shared" si="26"/>
        <v>0.05</v>
      </c>
      <c r="F300" s="54">
        <f t="shared" si="27"/>
        <v>0.045</v>
      </c>
      <c r="G300" s="41">
        <f t="shared" si="55"/>
        <v>0.07</v>
      </c>
      <c r="H300" s="44">
        <f t="shared" si="56"/>
        <v>0.05</v>
      </c>
      <c r="I300" s="8">
        <f t="shared" si="36"/>
        <v>0.38114674832861384</v>
      </c>
      <c r="J300" s="69">
        <f t="shared" si="37"/>
        <v>0.05</v>
      </c>
      <c r="K300" s="69">
        <f t="shared" si="38"/>
        <v>0.045</v>
      </c>
      <c r="L300" s="45">
        <f t="shared" si="39"/>
        <v>8.037417657627559</v>
      </c>
      <c r="M300" s="36"/>
      <c r="N300" s="36"/>
      <c r="O300" s="36">
        <f t="shared" si="45"/>
        <v>108</v>
      </c>
      <c r="P300" s="47">
        <f t="shared" si="48"/>
        <v>40990.83005390055</v>
      </c>
      <c r="Q300" s="48">
        <f t="shared" si="40"/>
        <v>39530.31269881732</v>
      </c>
      <c r="R300" s="47">
        <f t="shared" si="50"/>
        <v>-1007615.43156167</v>
      </c>
      <c r="S300" s="49">
        <f t="shared" si="51"/>
        <v>-29279.171913265858</v>
      </c>
      <c r="T300" s="40">
        <f t="shared" si="30"/>
        <v>-1036894.6034749359</v>
      </c>
      <c r="U300" s="37"/>
      <c r="V300" s="36"/>
      <c r="W300" s="36">
        <f t="shared" si="31"/>
        <v>108</v>
      </c>
      <c r="X300" s="47">
        <f t="shared" si="22"/>
        <v>40990.83005390055</v>
      </c>
      <c r="Y300" s="47">
        <f t="shared" si="32"/>
        <v>0</v>
      </c>
      <c r="Z300" s="47">
        <f t="shared" si="52"/>
        <v>0</v>
      </c>
      <c r="AA300" s="48">
        <f t="shared" si="53"/>
        <v>-83158.91932259125</v>
      </c>
      <c r="AB300" s="49">
        <f t="shared" si="54"/>
        <v>-993736.4475178359</v>
      </c>
      <c r="AC300" s="40">
        <f t="shared" si="49"/>
        <v>-1045199.6151460999</v>
      </c>
      <c r="AD300" s="37"/>
      <c r="AE300" s="55">
        <v>1995</v>
      </c>
      <c r="AF300" s="56">
        <v>792.042</v>
      </c>
      <c r="AG300">
        <v>619.0963</v>
      </c>
      <c r="AH300">
        <v>1401.9729</v>
      </c>
      <c r="AI300" s="61">
        <f t="shared" si="41"/>
        <v>0.3757775249476728</v>
      </c>
      <c r="AJ300" s="61">
        <f t="shared" si="42"/>
        <v>0.21991221545145995</v>
      </c>
      <c r="AK300" s="61">
        <f t="shared" si="43"/>
        <v>0.05605707518812221</v>
      </c>
      <c r="AL300" s="61">
        <f t="shared" si="44"/>
        <v>0.28145935617323264</v>
      </c>
      <c r="AM300" s="65">
        <v>0.025384101536406224</v>
      </c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</row>
    <row r="301" spans="3:59" ht="15" hidden="1">
      <c r="C301" s="54">
        <f t="shared" si="24"/>
        <v>0.20039552052260062</v>
      </c>
      <c r="D301" s="64">
        <f t="shared" si="25"/>
        <v>0.017023959646910575</v>
      </c>
      <c r="E301" s="54">
        <f t="shared" si="26"/>
        <v>0.05</v>
      </c>
      <c r="F301" s="54">
        <f t="shared" si="27"/>
        <v>0.045</v>
      </c>
      <c r="G301" s="41">
        <f t="shared" si="55"/>
        <v>0.07</v>
      </c>
      <c r="H301" s="44">
        <f t="shared" si="56"/>
        <v>0.05</v>
      </c>
      <c r="I301" s="8">
        <f t="shared" si="36"/>
        <v>0.3830524820702569</v>
      </c>
      <c r="J301" s="69">
        <f t="shared" si="37"/>
        <v>0.05</v>
      </c>
      <c r="K301" s="69">
        <f t="shared" si="38"/>
        <v>0.045</v>
      </c>
      <c r="L301" s="45">
        <f t="shared" si="39"/>
        <v>8.3991014522208</v>
      </c>
      <c r="M301" s="36"/>
      <c r="N301" s="36"/>
      <c r="O301" s="36">
        <f t="shared" si="45"/>
        <v>109</v>
      </c>
      <c r="P301" s="47">
        <f t="shared" si="48"/>
        <v>42835.41740632608</v>
      </c>
      <c r="Q301" s="48">
        <f t="shared" si="40"/>
        <v>29279.171913265858</v>
      </c>
      <c r="R301" s="47">
        <f t="shared" si="50"/>
        <v>-1098514.7736560414</v>
      </c>
      <c r="S301" s="49">
        <f t="shared" si="51"/>
        <v>-31668.260953445497</v>
      </c>
      <c r="T301" s="40">
        <f t="shared" si="30"/>
        <v>-1130183.0346094868</v>
      </c>
      <c r="U301" s="37"/>
      <c r="V301" s="36"/>
      <c r="W301" s="36">
        <f t="shared" si="31"/>
        <v>109</v>
      </c>
      <c r="X301" s="47">
        <f t="shared" si="22"/>
        <v>42835.41740632608</v>
      </c>
      <c r="Y301" s="47">
        <f t="shared" si="32"/>
        <v>0</v>
      </c>
      <c r="Z301" s="47">
        <f t="shared" si="52"/>
        <v>0</v>
      </c>
      <c r="AA301" s="48">
        <f t="shared" si="53"/>
        <v>-87316.86528872082</v>
      </c>
      <c r="AB301" s="49">
        <f t="shared" si="54"/>
        <v>-1066110.3118759647</v>
      </c>
      <c r="AC301" s="40">
        <f t="shared" si="49"/>
        <v>-1119980.2351892467</v>
      </c>
      <c r="AD301" s="37"/>
      <c r="AE301" s="55">
        <v>1996</v>
      </c>
      <c r="AF301" s="56">
        <v>973.897</v>
      </c>
      <c r="AG301">
        <v>645.3377</v>
      </c>
      <c r="AH301">
        <v>1473.9818</v>
      </c>
      <c r="AI301" s="61">
        <f t="shared" si="41"/>
        <v>0.22960272308791707</v>
      </c>
      <c r="AJ301" s="61">
        <f t="shared" si="42"/>
        <v>0.04238662062751788</v>
      </c>
      <c r="AK301" s="61">
        <f t="shared" si="43"/>
        <v>0.05136254773540918</v>
      </c>
      <c r="AL301" s="61">
        <f t="shared" si="44"/>
        <v>0.13689226456850662</v>
      </c>
      <c r="AM301" s="65">
        <v>0.033224755700325695</v>
      </c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</row>
    <row r="302" spans="3:59" ht="15" hidden="1">
      <c r="C302" s="54">
        <f t="shared" si="24"/>
        <v>0.17637963346868246</v>
      </c>
      <c r="D302" s="64">
        <f t="shared" si="25"/>
        <v>0.016119032858028483</v>
      </c>
      <c r="E302" s="54">
        <f t="shared" si="26"/>
        <v>0.05</v>
      </c>
      <c r="F302" s="54">
        <f t="shared" si="27"/>
        <v>0.045</v>
      </c>
      <c r="G302" s="41">
        <f t="shared" si="55"/>
        <v>0.07</v>
      </c>
      <c r="H302" s="44">
        <f t="shared" si="56"/>
        <v>0.05</v>
      </c>
      <c r="I302" s="8">
        <f t="shared" si="36"/>
        <v>0.38496774448060805</v>
      </c>
      <c r="J302" s="69">
        <f t="shared" si="37"/>
        <v>0.05</v>
      </c>
      <c r="K302" s="69">
        <f t="shared" si="38"/>
        <v>0.045</v>
      </c>
      <c r="L302" s="45">
        <f t="shared" si="39"/>
        <v>8.777061017570734</v>
      </c>
      <c r="M302" s="36"/>
      <c r="N302" s="36"/>
      <c r="O302" s="36">
        <f t="shared" si="45"/>
        <v>110</v>
      </c>
      <c r="P302" s="47">
        <f t="shared" si="48"/>
        <v>44763.01118961074</v>
      </c>
      <c r="Q302" s="48">
        <f t="shared" si="40"/>
        <v>31668.260953445497</v>
      </c>
      <c r="R302" s="47">
        <f t="shared" si="50"/>
        <v>-1183451.6635499408</v>
      </c>
      <c r="S302" s="49">
        <f t="shared" si="51"/>
        <v>-46410.476496359435</v>
      </c>
      <c r="T302" s="40">
        <f t="shared" si="30"/>
        <v>-1229862.1400463001</v>
      </c>
      <c r="U302" s="37"/>
      <c r="V302" s="36"/>
      <c r="W302" s="36">
        <f t="shared" si="31"/>
        <v>110</v>
      </c>
      <c r="X302" s="47">
        <f t="shared" si="22"/>
        <v>44763.01118961074</v>
      </c>
      <c r="Y302" s="47">
        <f t="shared" si="32"/>
        <v>0</v>
      </c>
      <c r="Z302" s="47">
        <f t="shared" si="52"/>
        <v>0</v>
      </c>
      <c r="AA302" s="48">
        <f t="shared" si="53"/>
        <v>-91682.70855315686</v>
      </c>
      <c r="AB302" s="49">
        <f t="shared" si="54"/>
        <v>-1142493.114931058</v>
      </c>
      <c r="AC302" s="40">
        <f t="shared" si="49"/>
        <v>-1198880.937964633</v>
      </c>
      <c r="AD302" s="37"/>
      <c r="AE302" s="55">
        <v>1997</v>
      </c>
      <c r="AF302" s="56">
        <v>1298.821</v>
      </c>
      <c r="AG302">
        <v>715.3387</v>
      </c>
      <c r="AH302">
        <v>1550.4867</v>
      </c>
      <c r="AI302" s="61">
        <f t="shared" si="41"/>
        <v>0.3336328174334656</v>
      </c>
      <c r="AJ302" s="61">
        <f t="shared" si="42"/>
        <v>0.10847188998876088</v>
      </c>
      <c r="AK302" s="61">
        <f t="shared" si="43"/>
        <v>0.051903558103634596</v>
      </c>
      <c r="AL302" s="61">
        <f t="shared" si="44"/>
        <v>0.2153955205226006</v>
      </c>
      <c r="AM302" s="65">
        <v>0.017023959646910575</v>
      </c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</row>
    <row r="303" spans="3:59" ht="15" hidden="1">
      <c r="C303" s="54">
        <f t="shared" si="24"/>
        <v>0.08286306347650682</v>
      </c>
      <c r="D303" s="64">
        <f t="shared" si="25"/>
        <v>0.02684563758389265</v>
      </c>
      <c r="E303" s="54">
        <f t="shared" si="26"/>
        <v>0.05</v>
      </c>
      <c r="F303" s="54">
        <f t="shared" si="27"/>
        <v>0.045</v>
      </c>
      <c r="G303" s="41">
        <f t="shared" si="55"/>
        <v>0.07</v>
      </c>
      <c r="H303" s="44">
        <f t="shared" si="56"/>
        <v>0.05</v>
      </c>
      <c r="I303" s="8">
        <f t="shared" si="36"/>
        <v>0.38689258320301106</v>
      </c>
      <c r="J303" s="69">
        <f t="shared" si="37"/>
        <v>0.05</v>
      </c>
      <c r="K303" s="69">
        <f t="shared" si="38"/>
        <v>0.045</v>
      </c>
      <c r="L303" s="45">
        <f t="shared" si="39"/>
        <v>9.172028763361416</v>
      </c>
      <c r="M303" s="36"/>
      <c r="N303" s="36"/>
      <c r="O303" s="36">
        <f t="shared" si="45"/>
        <v>111</v>
      </c>
      <c r="P303" s="47">
        <f t="shared" si="48"/>
        <v>46777.34669314322</v>
      </c>
      <c r="Q303" s="48">
        <f t="shared" si="40"/>
        <v>46410.476496359435</v>
      </c>
      <c r="R303" s="47">
        <f t="shared" si="50"/>
        <v>-1275084.2142047195</v>
      </c>
      <c r="S303" s="49">
        <f t="shared" si="51"/>
        <v>-61133.76607881924</v>
      </c>
      <c r="T303" s="40">
        <f t="shared" si="30"/>
        <v>-1336217.9802835388</v>
      </c>
      <c r="U303" s="37"/>
      <c r="V303" s="36"/>
      <c r="W303" s="36">
        <f t="shared" si="31"/>
        <v>111</v>
      </c>
      <c r="X303" s="47">
        <f t="shared" si="22"/>
        <v>46777.34669314322</v>
      </c>
      <c r="Y303" s="47">
        <f t="shared" si="32"/>
        <v>0</v>
      </c>
      <c r="Z303" s="47">
        <f t="shared" si="52"/>
        <v>0</v>
      </c>
      <c r="AA303" s="48">
        <f t="shared" si="53"/>
        <v>-96266.84398081471</v>
      </c>
      <c r="AB303" s="49">
        <f t="shared" si="54"/>
        <v>-1223077.8993836343</v>
      </c>
      <c r="AC303" s="40">
        <f t="shared" si="49"/>
        <v>-1282099.8154199105</v>
      </c>
      <c r="AD303" s="37"/>
      <c r="AE303">
        <v>1998</v>
      </c>
      <c r="AF303" s="56">
        <v>1670.006</v>
      </c>
      <c r="AG303">
        <v>793.366</v>
      </c>
      <c r="AH303">
        <v>1625.7723</v>
      </c>
      <c r="AI303" s="61">
        <f t="shared" si="41"/>
        <v>0.28578610909432495</v>
      </c>
      <c r="AJ303" s="61">
        <f t="shared" si="42"/>
        <v>0.10907742024861784</v>
      </c>
      <c r="AK303" s="61">
        <f t="shared" si="43"/>
        <v>0.04855610822072847</v>
      </c>
      <c r="AL303" s="61">
        <f t="shared" si="44"/>
        <v>0.19137963346868245</v>
      </c>
      <c r="AM303" s="65">
        <v>0.016119032858028483</v>
      </c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</row>
    <row r="304" spans="3:59" ht="15" hidden="1">
      <c r="C304" s="54">
        <f t="shared" si="24"/>
        <v>-0.007766484904255842</v>
      </c>
      <c r="D304" s="64">
        <f t="shared" si="25"/>
        <v>0.03386809269162203</v>
      </c>
      <c r="E304" s="54">
        <f t="shared" si="26"/>
        <v>0.05</v>
      </c>
      <c r="F304" s="54">
        <f t="shared" si="27"/>
        <v>0.045</v>
      </c>
      <c r="G304" s="41">
        <f t="shared" si="55"/>
        <v>0.07</v>
      </c>
      <c r="H304" s="44">
        <f t="shared" si="56"/>
        <v>0.05</v>
      </c>
      <c r="I304" s="8">
        <f t="shared" si="36"/>
        <v>0.388827046119026</v>
      </c>
      <c r="J304" s="69">
        <f t="shared" si="37"/>
        <v>0.05</v>
      </c>
      <c r="K304" s="69">
        <f t="shared" si="38"/>
        <v>0.045</v>
      </c>
      <c r="L304" s="45">
        <f t="shared" si="39"/>
        <v>9.58477005771268</v>
      </c>
      <c r="M304" s="36"/>
      <c r="N304" s="36"/>
      <c r="O304" s="36">
        <f t="shared" si="45"/>
        <v>112</v>
      </c>
      <c r="P304" s="47">
        <f t="shared" si="48"/>
        <v>48882.32729433467</v>
      </c>
      <c r="Q304" s="48">
        <f t="shared" si="40"/>
        <v>61133.76607881924</v>
      </c>
      <c r="R304" s="47">
        <f t="shared" si="50"/>
        <v>-1386409.163323724</v>
      </c>
      <c r="S304" s="49">
        <f t="shared" si="51"/>
        <v>-63380.33781655209</v>
      </c>
      <c r="T304" s="40">
        <f t="shared" si="30"/>
        <v>-1449789.501140276</v>
      </c>
      <c r="U304" s="37"/>
      <c r="V304" s="36"/>
      <c r="W304" s="36">
        <f t="shared" si="31"/>
        <v>112</v>
      </c>
      <c r="X304" s="47">
        <f t="shared" si="22"/>
        <v>48882.32729433467</v>
      </c>
      <c r="Y304" s="47">
        <f t="shared" si="32"/>
        <v>0</v>
      </c>
      <c r="Z304" s="47">
        <f t="shared" si="52"/>
        <v>0</v>
      </c>
      <c r="AA304" s="48">
        <f t="shared" si="53"/>
        <v>-101080.18617985545</v>
      </c>
      <c r="AB304" s="49">
        <f t="shared" si="54"/>
        <v>-1308066.1411032982</v>
      </c>
      <c r="AC304" s="40">
        <f t="shared" si="49"/>
        <v>-1369843.6170696793</v>
      </c>
      <c r="AD304" s="37"/>
      <c r="AE304">
        <v>1999</v>
      </c>
      <c r="AF304" s="56">
        <v>2021.401</v>
      </c>
      <c r="AG304">
        <v>769.2748</v>
      </c>
      <c r="AH304">
        <v>1703.8367</v>
      </c>
      <c r="AI304" s="61">
        <f t="shared" si="41"/>
        <v>0.21041541168115563</v>
      </c>
      <c r="AJ304" s="61">
        <f t="shared" si="42"/>
        <v>-0.03036580846671014</v>
      </c>
      <c r="AK304" s="61">
        <f t="shared" si="43"/>
        <v>0.04801681022613067</v>
      </c>
      <c r="AL304" s="61">
        <f t="shared" si="44"/>
        <v>0.09786306347650682</v>
      </c>
      <c r="AM304" s="65">
        <v>0.02684563758389265</v>
      </c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</row>
    <row r="305" spans="3:59" ht="15" hidden="1">
      <c r="C305" s="54">
        <f t="shared" si="24"/>
        <v>-0.02525528655985316</v>
      </c>
      <c r="D305" s="64">
        <f t="shared" si="25"/>
        <v>0.015517241379310279</v>
      </c>
      <c r="E305" s="54">
        <f t="shared" si="26"/>
        <v>0.05</v>
      </c>
      <c r="F305" s="54">
        <f t="shared" si="27"/>
        <v>0.045</v>
      </c>
      <c r="G305" s="41">
        <f t="shared" si="55"/>
        <v>0.07</v>
      </c>
      <c r="H305" s="44">
        <f t="shared" si="56"/>
        <v>0.05</v>
      </c>
      <c r="I305" s="8">
        <f t="shared" si="36"/>
        <v>0.39077118134962113</v>
      </c>
      <c r="J305" s="69">
        <f t="shared" si="37"/>
        <v>0.05</v>
      </c>
      <c r="K305" s="69">
        <f t="shared" si="38"/>
        <v>0.045</v>
      </c>
      <c r="L305" s="45">
        <f t="shared" si="39"/>
        <v>10.01608471030975</v>
      </c>
      <c r="M305" s="36"/>
      <c r="N305" s="36"/>
      <c r="O305" s="36">
        <f t="shared" si="45"/>
        <v>113</v>
      </c>
      <c r="P305" s="47">
        <f t="shared" si="48"/>
        <v>51082.032022579726</v>
      </c>
      <c r="Q305" s="48">
        <f t="shared" si="40"/>
        <v>63380.33781655209</v>
      </c>
      <c r="R305" s="47">
        <f t="shared" si="50"/>
        <v>-1518391.7317206997</v>
      </c>
      <c r="S305" s="49">
        <f t="shared" si="51"/>
        <v>-52878.5227453532</v>
      </c>
      <c r="T305" s="40">
        <f t="shared" si="30"/>
        <v>-1571270.2544660529</v>
      </c>
      <c r="U305" s="37"/>
      <c r="V305" s="36"/>
      <c r="W305" s="36">
        <f t="shared" si="31"/>
        <v>113</v>
      </c>
      <c r="X305" s="47">
        <f t="shared" si="22"/>
        <v>51082.032022579726</v>
      </c>
      <c r="Y305" s="47">
        <f t="shared" si="32"/>
        <v>0</v>
      </c>
      <c r="Z305" s="47">
        <f t="shared" si="52"/>
        <v>0</v>
      </c>
      <c r="AA305" s="48">
        <f t="shared" si="53"/>
        <v>-106134.19548884823</v>
      </c>
      <c r="AB305" s="49">
        <f t="shared" si="54"/>
        <v>-1397668.0896732488</v>
      </c>
      <c r="AC305" s="40">
        <f t="shared" si="49"/>
        <v>-1462328.100209328</v>
      </c>
      <c r="AD305" s="37"/>
      <c r="AE305">
        <v>2000</v>
      </c>
      <c r="AF305" s="56">
        <v>1837.365</v>
      </c>
      <c r="AG305">
        <v>859.2302</v>
      </c>
      <c r="AH305">
        <v>1805.7479</v>
      </c>
      <c r="AI305" s="61">
        <f t="shared" si="41"/>
        <v>-0.0910437859682468</v>
      </c>
      <c r="AJ305" s="61">
        <f t="shared" si="42"/>
        <v>0.11693532662190408</v>
      </c>
      <c r="AK305" s="61">
        <f t="shared" si="43"/>
        <v>0.059812774311059275</v>
      </c>
      <c r="AL305" s="61">
        <f t="shared" si="44"/>
        <v>0.007233515095744158</v>
      </c>
      <c r="AM305" s="65">
        <v>0.03386809269162203</v>
      </c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</row>
    <row r="306" spans="3:39" ht="15" hidden="1">
      <c r="C306" s="54">
        <f t="shared" si="24"/>
        <v>-0.07916990650512978</v>
      </c>
      <c r="D306" s="64">
        <f t="shared" si="25"/>
        <v>0.023769100169779386</v>
      </c>
      <c r="E306" s="54">
        <f t="shared" si="26"/>
        <v>0.05</v>
      </c>
      <c r="F306" s="54">
        <f t="shared" si="27"/>
        <v>0.045</v>
      </c>
      <c r="G306" s="11">
        <f t="shared" si="55"/>
        <v>0.07</v>
      </c>
      <c r="H306" s="8">
        <f t="shared" si="56"/>
        <v>0.05</v>
      </c>
      <c r="I306" s="8">
        <f t="shared" si="36"/>
        <v>0.39272503725636915</v>
      </c>
      <c r="J306" s="69">
        <f t="shared" si="37"/>
        <v>0.05</v>
      </c>
      <c r="K306" s="69">
        <f t="shared" si="38"/>
        <v>0.045</v>
      </c>
      <c r="L306" s="22">
        <f t="shared" si="39"/>
        <v>10.466808522273688</v>
      </c>
      <c r="M306" s="7"/>
      <c r="N306" s="7"/>
      <c r="O306" s="7">
        <f t="shared" si="45"/>
        <v>114</v>
      </c>
      <c r="P306" s="12">
        <f t="shared" si="48"/>
        <v>53380.72346359581</v>
      </c>
      <c r="Q306" s="15">
        <f t="shared" si="40"/>
        <v>52878.5227453532</v>
      </c>
      <c r="R306" s="12">
        <f t="shared" si="50"/>
        <v>-1659276.1645687008</v>
      </c>
      <c r="S306" s="13">
        <f t="shared" si="51"/>
        <v>-42003.66089083071</v>
      </c>
      <c r="T306" s="10">
        <f t="shared" si="30"/>
        <v>-1701279.8254595315</v>
      </c>
      <c r="V306" s="7"/>
      <c r="W306" s="7">
        <f t="shared" si="31"/>
        <v>114</v>
      </c>
      <c r="X306" s="12">
        <f t="shared" si="22"/>
        <v>53380.72346359581</v>
      </c>
      <c r="Y306" s="47">
        <f t="shared" si="32"/>
        <v>0</v>
      </c>
      <c r="Z306" s="12">
        <f t="shared" si="52"/>
        <v>0</v>
      </c>
      <c r="AA306" s="15">
        <f t="shared" si="53"/>
        <v>-111440.90526329064</v>
      </c>
      <c r="AB306" s="13">
        <f t="shared" si="54"/>
        <v>-1492103.121803261</v>
      </c>
      <c r="AC306" s="10">
        <f t="shared" si="49"/>
        <v>-1559778.3933951424</v>
      </c>
      <c r="AE306">
        <v>2001</v>
      </c>
      <c r="AF306" s="56">
        <v>1618.979</v>
      </c>
      <c r="AG306">
        <v>957.7096</v>
      </c>
      <c r="AH306">
        <v>1865.851</v>
      </c>
      <c r="AI306" s="61">
        <f t="shared" si="41"/>
        <v>-0.11885825625284033</v>
      </c>
      <c r="AJ306" s="61">
        <f t="shared" si="42"/>
        <v>0.11461352266249494</v>
      </c>
      <c r="AK306" s="61">
        <f t="shared" si="43"/>
        <v>0.033284325015690196</v>
      </c>
      <c r="AL306" s="61">
        <f t="shared" si="44"/>
        <v>-0.010255286559853161</v>
      </c>
      <c r="AM306" s="65">
        <v>0.015517241379310279</v>
      </c>
    </row>
    <row r="307" spans="3:39" ht="15" hidden="1">
      <c r="C307" s="54">
        <f t="shared" si="24"/>
        <v>0.16636718577917603</v>
      </c>
      <c r="D307" s="64">
        <f t="shared" si="25"/>
        <v>0.01879491431730241</v>
      </c>
      <c r="E307" s="54">
        <f t="shared" si="26"/>
        <v>0.05</v>
      </c>
      <c r="F307" s="54">
        <f t="shared" si="27"/>
        <v>0.045</v>
      </c>
      <c r="G307" s="11">
        <f t="shared" si="55"/>
        <v>0.07</v>
      </c>
      <c r="H307" s="8">
        <f t="shared" si="56"/>
        <v>0.05</v>
      </c>
      <c r="I307" s="8">
        <f t="shared" si="36"/>
        <v>0.39468866244265094</v>
      </c>
      <c r="J307" s="69">
        <f t="shared" si="37"/>
        <v>0.05</v>
      </c>
      <c r="K307" s="69">
        <f t="shared" si="38"/>
        <v>0.045</v>
      </c>
      <c r="L307" s="22">
        <f t="shared" si="39"/>
        <v>10.937814905776003</v>
      </c>
      <c r="M307" s="7"/>
      <c r="N307" s="7"/>
      <c r="O307" s="7">
        <f t="shared" si="45"/>
        <v>115</v>
      </c>
      <c r="P307" s="12">
        <f t="shared" si="48"/>
        <v>55782.85601945761</v>
      </c>
      <c r="Q307" s="15">
        <f t="shared" si="40"/>
        <v>42003.66089083071</v>
      </c>
      <c r="R307" s="12">
        <f t="shared" si="50"/>
        <v>-1796440.458611123</v>
      </c>
      <c r="S307" s="13">
        <f t="shared" si="51"/>
        <v>-43788.874537263604</v>
      </c>
      <c r="T307" s="10">
        <f t="shared" si="30"/>
        <v>-1840229.3331483866</v>
      </c>
      <c r="V307" s="7"/>
      <c r="W307" s="7">
        <f t="shared" si="31"/>
        <v>115</v>
      </c>
      <c r="X307" s="12">
        <f t="shared" si="22"/>
        <v>55782.85601945761</v>
      </c>
      <c r="Y307" s="47">
        <f t="shared" si="32"/>
        <v>0</v>
      </c>
      <c r="Z307" s="12">
        <f t="shared" si="52"/>
        <v>0</v>
      </c>
      <c r="AA307" s="15">
        <f t="shared" si="53"/>
        <v>-117012.95052645517</v>
      </c>
      <c r="AB307" s="13">
        <f t="shared" si="54"/>
        <v>-1591600.108073308</v>
      </c>
      <c r="AC307" s="10">
        <f t="shared" si="49"/>
        <v>-1662429.3736680085</v>
      </c>
      <c r="AE307">
        <v>2002</v>
      </c>
      <c r="AF307" s="56">
        <v>1261.176</v>
      </c>
      <c r="AG307">
        <v>1064.796</v>
      </c>
      <c r="AH307">
        <v>1895.83</v>
      </c>
      <c r="AI307" s="61">
        <f t="shared" si="41"/>
        <v>-0.2210053373144433</v>
      </c>
      <c r="AJ307" s="61">
        <f t="shared" si="42"/>
        <v>0.1118151055392992</v>
      </c>
      <c r="AK307" s="61">
        <f t="shared" si="43"/>
        <v>0.01606719936372187</v>
      </c>
      <c r="AL307" s="61">
        <f t="shared" si="44"/>
        <v>-0.06416990650512978</v>
      </c>
      <c r="AM307" s="65">
        <v>0.023769100169779386</v>
      </c>
    </row>
    <row r="308" spans="3:39" ht="15" hidden="1">
      <c r="C308" s="54">
        <f t="shared" si="24"/>
        <v>0.06688169464235967</v>
      </c>
      <c r="D308" s="64">
        <f t="shared" si="25"/>
        <v>0.032555615843733045</v>
      </c>
      <c r="E308" s="54">
        <f t="shared" si="26"/>
        <v>0.05</v>
      </c>
      <c r="F308" s="54">
        <f t="shared" si="27"/>
        <v>0.045</v>
      </c>
      <c r="G308" s="11">
        <f t="shared" si="55"/>
        <v>0.07</v>
      </c>
      <c r="H308" s="8">
        <f t="shared" si="56"/>
        <v>0.05</v>
      </c>
      <c r="I308" s="8">
        <f t="shared" si="36"/>
        <v>0.3966621057548642</v>
      </c>
      <c r="J308" s="69">
        <f t="shared" si="37"/>
        <v>0.05</v>
      </c>
      <c r="K308" s="69">
        <f t="shared" si="38"/>
        <v>0.045</v>
      </c>
      <c r="L308" s="22">
        <f t="shared" si="39"/>
        <v>11.430016576535923</v>
      </c>
      <c r="M308" s="7"/>
      <c r="N308" s="7"/>
      <c r="O308" s="7">
        <f t="shared" si="45"/>
        <v>116</v>
      </c>
      <c r="P308" s="12">
        <f t="shared" si="48"/>
        <v>58293.084540333206</v>
      </c>
      <c r="Q308" s="15">
        <f t="shared" si="40"/>
        <v>43788.874537263604</v>
      </c>
      <c r="R308" s="12">
        <f t="shared" si="50"/>
        <v>-1929316.2339547807</v>
      </c>
      <c r="S308" s="13">
        <f t="shared" si="51"/>
        <v>-59101.88235254893</v>
      </c>
      <c r="T308" s="10">
        <f t="shared" si="30"/>
        <v>-1988418.1163073296</v>
      </c>
      <c r="V308" s="7"/>
      <c r="W308" s="7">
        <f t="shared" si="31"/>
        <v>116</v>
      </c>
      <c r="X308" s="12">
        <f t="shared" si="22"/>
        <v>58293.084540333206</v>
      </c>
      <c r="Y308" s="47">
        <f t="shared" si="32"/>
        <v>0</v>
      </c>
      <c r="Z308" s="12">
        <f t="shared" si="52"/>
        <v>0</v>
      </c>
      <c r="AA308" s="15">
        <f t="shared" si="53"/>
        <v>-122863.59805277793</v>
      </c>
      <c r="AB308" s="13">
        <f t="shared" si="54"/>
        <v>-1696397.7934862273</v>
      </c>
      <c r="AC308" s="10">
        <f t="shared" si="49"/>
        <v>-1770526.058014771</v>
      </c>
      <c r="AE308">
        <v>2003</v>
      </c>
      <c r="AF308" s="56">
        <v>1622.94</v>
      </c>
      <c r="AG308">
        <v>1163.07</v>
      </c>
      <c r="AH308">
        <v>1915.289</v>
      </c>
      <c r="AI308" s="61">
        <f t="shared" si="41"/>
        <v>0.28684656225618005</v>
      </c>
      <c r="AJ308" s="61">
        <f t="shared" si="42"/>
        <v>0.09229373513799816</v>
      </c>
      <c r="AK308" s="61">
        <f t="shared" si="43"/>
        <v>0.010264105958867653</v>
      </c>
      <c r="AL308" s="61">
        <f t="shared" si="44"/>
        <v>0.18136718577917604</v>
      </c>
      <c r="AM308" s="65">
        <v>0.01879491431730241</v>
      </c>
    </row>
    <row r="309" spans="3:39" ht="15" hidden="1">
      <c r="C309" s="54">
        <f t="shared" si="24"/>
        <v>0.04391409456663173</v>
      </c>
      <c r="D309" s="64">
        <f t="shared" si="25"/>
        <v>0.03415659485023647</v>
      </c>
      <c r="E309" s="54">
        <f t="shared" si="26"/>
        <v>0.05</v>
      </c>
      <c r="F309" s="54">
        <f t="shared" si="27"/>
        <v>0.045</v>
      </c>
      <c r="G309" s="11">
        <f t="shared" si="55"/>
        <v>0.07</v>
      </c>
      <c r="H309" s="8">
        <f t="shared" si="56"/>
        <v>0.05</v>
      </c>
      <c r="I309" s="8">
        <f t="shared" si="36"/>
        <v>0.3986454162836384</v>
      </c>
      <c r="J309" s="69">
        <f t="shared" si="37"/>
        <v>0.05</v>
      </c>
      <c r="K309" s="69">
        <f t="shared" si="38"/>
        <v>0.045</v>
      </c>
      <c r="L309" s="22">
        <f t="shared" si="39"/>
        <v>11.944367322480039</v>
      </c>
      <c r="M309" s="7"/>
      <c r="N309" s="7"/>
      <c r="O309" s="7">
        <f t="shared" si="45"/>
        <v>117</v>
      </c>
      <c r="P309" s="12">
        <f t="shared" si="48"/>
        <v>60916.2733446482</v>
      </c>
      <c r="Q309" s="15">
        <f t="shared" si="40"/>
        <v>59101.88235254893</v>
      </c>
      <c r="R309" s="12">
        <f t="shared" si="50"/>
        <v>-2070665.642053215</v>
      </c>
      <c r="S309" s="13">
        <f t="shared" si="51"/>
        <v>-75607.78610586762</v>
      </c>
      <c r="T309" s="10">
        <f t="shared" si="30"/>
        <v>-2146273.428159083</v>
      </c>
      <c r="V309" s="7"/>
      <c r="W309" s="7">
        <f t="shared" si="31"/>
        <v>117</v>
      </c>
      <c r="X309" s="12">
        <f t="shared" si="22"/>
        <v>60916.2733446482</v>
      </c>
      <c r="Y309" s="47">
        <f t="shared" si="32"/>
        <v>0</v>
      </c>
      <c r="Z309" s="12">
        <f t="shared" si="52"/>
        <v>0</v>
      </c>
      <c r="AA309" s="15">
        <f t="shared" si="53"/>
        <v>-129006.77795541684</v>
      </c>
      <c r="AB309" s="13">
        <f t="shared" si="54"/>
        <v>-1806745.1923246547</v>
      </c>
      <c r="AC309" s="10">
        <f t="shared" si="49"/>
        <v>-1884324.0095786233</v>
      </c>
      <c r="AE309" s="57">
        <v>2004</v>
      </c>
      <c r="AF309" s="58">
        <v>1799.548</v>
      </c>
      <c r="AG309" s="59">
        <v>1238.786</v>
      </c>
      <c r="AH309" s="59">
        <v>1942.7111</v>
      </c>
      <c r="AI309" s="61">
        <f t="shared" si="41"/>
        <v>0.10881979617237848</v>
      </c>
      <c r="AJ309" s="61">
        <f t="shared" si="42"/>
        <v>0.06510012295046741</v>
      </c>
      <c r="AK309" s="61">
        <f t="shared" si="43"/>
        <v>0.014317473759834679</v>
      </c>
      <c r="AL309" s="61">
        <f t="shared" si="44"/>
        <v>0.08188169464235967</v>
      </c>
      <c r="AM309" s="66">
        <v>0.032555615843733045</v>
      </c>
    </row>
    <row r="310" spans="3:39" ht="15" hidden="1">
      <c r="C310" s="54">
        <f t="shared" si="24"/>
        <v>0.08549718317042199</v>
      </c>
      <c r="D310" s="64">
        <f t="shared" si="25"/>
        <v>0.02540650406504065</v>
      </c>
      <c r="E310" s="54">
        <f t="shared" si="26"/>
        <v>0.05</v>
      </c>
      <c r="F310" s="54">
        <f t="shared" si="27"/>
        <v>0.045</v>
      </c>
      <c r="G310" s="11">
        <f t="shared" si="55"/>
        <v>0.07</v>
      </c>
      <c r="H310" s="8">
        <f t="shared" si="56"/>
        <v>0.05</v>
      </c>
      <c r="I310" s="8">
        <f t="shared" si="36"/>
        <v>0.40063864336505656</v>
      </c>
      <c r="J310" s="69">
        <f t="shared" si="37"/>
        <v>0.05</v>
      </c>
      <c r="K310" s="69">
        <f t="shared" si="38"/>
        <v>0.045</v>
      </c>
      <c r="L310" s="22">
        <f t="shared" si="39"/>
        <v>12.48186385199164</v>
      </c>
      <c r="M310" s="7"/>
      <c r="N310" s="7"/>
      <c r="O310" s="7">
        <f t="shared" si="45"/>
        <v>118</v>
      </c>
      <c r="P310" s="12">
        <f t="shared" si="48"/>
        <v>63657.50564515737</v>
      </c>
      <c r="Q310" s="15">
        <f t="shared" si="40"/>
        <v>75607.78610586762</v>
      </c>
      <c r="R310" s="12">
        <f t="shared" si="50"/>
        <v>-2234778.3535672384</v>
      </c>
      <c r="S310" s="13">
        <f t="shared" si="51"/>
        <v>-79722.80884343118</v>
      </c>
      <c r="T310" s="10">
        <f t="shared" si="30"/>
        <v>-2314501.1624106695</v>
      </c>
      <c r="V310" s="7"/>
      <c r="W310" s="7">
        <f t="shared" si="31"/>
        <v>118</v>
      </c>
      <c r="X310" s="12">
        <f t="shared" si="22"/>
        <v>63657.50564515737</v>
      </c>
      <c r="Y310" s="47">
        <f t="shared" si="32"/>
        <v>0</v>
      </c>
      <c r="Z310" s="12">
        <f t="shared" si="52"/>
        <v>0</v>
      </c>
      <c r="AA310" s="15">
        <f t="shared" si="53"/>
        <v>-135457.11685318768</v>
      </c>
      <c r="AB310" s="13">
        <f t="shared" si="54"/>
        <v>-1922901.9978248673</v>
      </c>
      <c r="AC310" s="10">
        <f t="shared" si="49"/>
        <v>-2004089.759147852</v>
      </c>
      <c r="AE310" s="57">
        <v>2005</v>
      </c>
      <c r="AF310" s="58">
        <v>1887.931</v>
      </c>
      <c r="AG310" s="59">
        <v>1334.954</v>
      </c>
      <c r="AH310" s="59">
        <v>2006.913</v>
      </c>
      <c r="AI310" s="61">
        <f t="shared" si="41"/>
        <v>0.04911399973771194</v>
      </c>
      <c r="AJ310" s="61">
        <f t="shared" si="42"/>
        <v>0.0776308418080281</v>
      </c>
      <c r="AK310" s="61">
        <f t="shared" si="43"/>
        <v>0.03304757974564516</v>
      </c>
      <c r="AL310" s="61">
        <f t="shared" si="44"/>
        <v>0.05891409456663173</v>
      </c>
      <c r="AM310" s="66">
        <v>0.03415659485023647</v>
      </c>
    </row>
    <row r="311" spans="3:39" ht="15" hidden="1">
      <c r="C311" s="54">
        <f t="shared" si="24"/>
        <v>0.03596154210381997</v>
      </c>
      <c r="D311" s="64">
        <f t="shared" si="25"/>
        <v>0.041</v>
      </c>
      <c r="E311" s="54">
        <f t="shared" si="26"/>
        <v>0.05</v>
      </c>
      <c r="F311" s="54">
        <f t="shared" si="27"/>
        <v>0.045</v>
      </c>
      <c r="G311" s="11">
        <f t="shared" si="55"/>
        <v>0.07</v>
      </c>
      <c r="H311" s="8">
        <f t="shared" si="56"/>
        <v>0.05</v>
      </c>
      <c r="I311" s="8">
        <f t="shared" si="36"/>
        <v>0.4026418365818818</v>
      </c>
      <c r="J311" s="69">
        <f t="shared" si="37"/>
        <v>0.05</v>
      </c>
      <c r="K311" s="69">
        <f t="shared" si="38"/>
        <v>0.045</v>
      </c>
      <c r="L311" s="22">
        <f t="shared" si="39"/>
        <v>13.043547725331264</v>
      </c>
      <c r="M311" s="7"/>
      <c r="N311" s="7"/>
      <c r="O311" s="7">
        <f t="shared" si="45"/>
        <v>119</v>
      </c>
      <c r="P311" s="12">
        <f t="shared" si="48"/>
        <v>66522.09339918944</v>
      </c>
      <c r="Q311" s="15">
        <f t="shared" si="40"/>
        <v>79722.80884343118</v>
      </c>
      <c r="R311" s="12">
        <f t="shared" si="50"/>
        <v>-2424015.2520041144</v>
      </c>
      <c r="S311" s="13">
        <f t="shared" si="51"/>
        <v>-69982.60351815079</v>
      </c>
      <c r="T311" s="10">
        <f t="shared" si="30"/>
        <v>-2493997.855522265</v>
      </c>
      <c r="V311" s="7"/>
      <c r="W311" s="7">
        <f t="shared" si="31"/>
        <v>119</v>
      </c>
      <c r="X311" s="12">
        <f t="shared" si="22"/>
        <v>66522.09339918944</v>
      </c>
      <c r="Y311" s="47">
        <f t="shared" si="32"/>
        <v>0</v>
      </c>
      <c r="Z311" s="12">
        <f t="shared" si="52"/>
        <v>0</v>
      </c>
      <c r="AA311" s="15">
        <f t="shared" si="53"/>
        <v>-142229.97269584707</v>
      </c>
      <c r="AB311" s="13">
        <f t="shared" si="54"/>
        <v>-2045139.0071982292</v>
      </c>
      <c r="AC311" s="10">
        <f t="shared" si="49"/>
        <v>-2130101.2424708293</v>
      </c>
      <c r="AE311" s="57">
        <v>2006</v>
      </c>
      <c r="AF311" s="58">
        <v>2186.1299</v>
      </c>
      <c r="AG311" s="59">
        <v>1390.2075</v>
      </c>
      <c r="AH311" s="59">
        <v>2106.5804</v>
      </c>
      <c r="AI311" s="61">
        <f t="shared" si="41"/>
        <v>0.15795010516803837</v>
      </c>
      <c r="AJ311" s="61">
        <f t="shared" si="42"/>
        <v>0.04138981567904215</v>
      </c>
      <c r="AK311" s="61">
        <f t="shared" si="43"/>
        <v>0.04966204314785933</v>
      </c>
      <c r="AL311" s="61">
        <f t="shared" si="44"/>
        <v>0.10049718317042199</v>
      </c>
      <c r="AM311" s="66">
        <v>0.02540650406504065</v>
      </c>
    </row>
    <row r="312" spans="3:39" ht="15" hidden="1">
      <c r="C312" s="54">
        <f t="shared" si="24"/>
        <v>-0.144946586652289</v>
      </c>
      <c r="D312" s="64">
        <f t="shared" si="25"/>
        <v>0.001</v>
      </c>
      <c r="E312" s="54">
        <f t="shared" si="26"/>
        <v>0.05</v>
      </c>
      <c r="F312" s="54">
        <f t="shared" si="27"/>
        <v>0.045</v>
      </c>
      <c r="G312" s="11">
        <f t="shared" si="55"/>
        <v>0.07</v>
      </c>
      <c r="H312" s="8">
        <f t="shared" si="56"/>
        <v>0.05</v>
      </c>
      <c r="I312" s="8">
        <f t="shared" si="36"/>
        <v>0.4046550457647911</v>
      </c>
      <c r="J312" s="69">
        <f t="shared" si="37"/>
        <v>0.05</v>
      </c>
      <c r="K312" s="69">
        <f t="shared" si="38"/>
        <v>0.045</v>
      </c>
      <c r="L312" s="22">
        <f t="shared" si="39"/>
        <v>13.63050737297117</v>
      </c>
      <c r="M312" s="7"/>
      <c r="N312" s="7"/>
      <c r="O312" s="7">
        <f t="shared" si="45"/>
        <v>120</v>
      </c>
      <c r="P312" s="12">
        <f t="shared" si="48"/>
        <v>69515.58760215297</v>
      </c>
      <c r="Q312" s="15">
        <f t="shared" si="40"/>
        <v>69982.60351815079</v>
      </c>
      <c r="R312" s="12">
        <f t="shared" si="50"/>
        <v>-2626931.893668837</v>
      </c>
      <c r="S312" s="13">
        <f t="shared" si="51"/>
        <v>-58674.98317101065</v>
      </c>
      <c r="T312" s="10">
        <f t="shared" si="30"/>
        <v>-2685606.876839848</v>
      </c>
      <c r="V312" s="7"/>
      <c r="W312" s="7">
        <f t="shared" si="31"/>
        <v>120</v>
      </c>
      <c r="X312" s="12">
        <f t="shared" si="22"/>
        <v>69515.58760215297</v>
      </c>
      <c r="Y312" s="47">
        <f t="shared" si="32"/>
        <v>0</v>
      </c>
      <c r="Z312" s="12">
        <f t="shared" si="52"/>
        <v>0</v>
      </c>
      <c r="AA312" s="15">
        <f t="shared" si="53"/>
        <v>-149341.47133063944</v>
      </c>
      <c r="AB312" s="13">
        <f t="shared" si="54"/>
        <v>-2173738.5625496446</v>
      </c>
      <c r="AC312" s="10">
        <f t="shared" si="49"/>
        <v>-2262648.2539644027</v>
      </c>
      <c r="AE312" s="57">
        <v>2007</v>
      </c>
      <c r="AF312" s="58">
        <v>2306.23</v>
      </c>
      <c r="AG312" s="59">
        <v>1456.1361</v>
      </c>
      <c r="AH312" s="59">
        <v>2201.8707</v>
      </c>
      <c r="AI312" s="61">
        <f t="shared" si="41"/>
        <v>0.054937311822138346</v>
      </c>
      <c r="AJ312" s="61">
        <f t="shared" si="42"/>
        <v>0.04742356806447955</v>
      </c>
      <c r="AK312" s="61">
        <f t="shared" si="43"/>
        <v>0.045234589669589695</v>
      </c>
      <c r="AL312" s="61">
        <f t="shared" si="44"/>
        <v>0.05096154210381997</v>
      </c>
      <c r="AM312" s="66">
        <v>0.041</v>
      </c>
    </row>
    <row r="313" spans="3:39" ht="15" hidden="1">
      <c r="C313" s="54">
        <f t="shared" si="24"/>
        <v>0.05</v>
      </c>
      <c r="D313" s="64">
        <f t="shared" si="25"/>
        <v>0.045</v>
      </c>
      <c r="E313" s="54">
        <f t="shared" si="26"/>
        <v>0.05</v>
      </c>
      <c r="F313" s="54">
        <f t="shared" si="27"/>
        <v>0.045</v>
      </c>
      <c r="G313" s="11">
        <f t="shared" si="55"/>
        <v>0.07</v>
      </c>
      <c r="H313" s="8">
        <f t="shared" si="56"/>
        <v>0.05</v>
      </c>
      <c r="I313" s="8">
        <f t="shared" si="36"/>
        <v>0.40667832099361506</v>
      </c>
      <c r="J313" s="69">
        <f t="shared" si="37"/>
        <v>0.05</v>
      </c>
      <c r="K313" s="69">
        <f t="shared" si="38"/>
        <v>0.045</v>
      </c>
      <c r="L313" s="22">
        <f t="shared" si="39"/>
        <v>14.243880204754872</v>
      </c>
      <c r="M313" s="7"/>
      <c r="N313" s="7"/>
      <c r="O313" s="7">
        <f t="shared" si="45"/>
        <v>121</v>
      </c>
      <c r="P313" s="12">
        <f t="shared" si="48"/>
        <v>72643.78904424985</v>
      </c>
      <c r="Q313" s="15">
        <f t="shared" si="40"/>
        <v>58674.98317101065</v>
      </c>
      <c r="R313" s="12">
        <f t="shared" si="50"/>
        <v>-2830010.6569583835</v>
      </c>
      <c r="S313" s="13">
        <f t="shared" si="51"/>
        <v>-59947.60912431926</v>
      </c>
      <c r="T313" s="10">
        <f t="shared" si="30"/>
        <v>-2889958.2660827027</v>
      </c>
      <c r="V313" s="7"/>
      <c r="W313" s="7">
        <f t="shared" si="31"/>
        <v>121</v>
      </c>
      <c r="X313" s="12">
        <f t="shared" si="22"/>
        <v>72643.78904424985</v>
      </c>
      <c r="Y313" s="47">
        <f t="shared" si="32"/>
        <v>0</v>
      </c>
      <c r="Z313" s="12">
        <f t="shared" si="52"/>
        <v>0</v>
      </c>
      <c r="AA313" s="15">
        <f t="shared" si="53"/>
        <v>-156808.5448971714</v>
      </c>
      <c r="AB313" s="13">
        <f t="shared" si="54"/>
        <v>-2308995.0082618105</v>
      </c>
      <c r="AC313" s="10">
        <f t="shared" si="49"/>
        <v>-2402032.9174027485</v>
      </c>
      <c r="AE313" s="57">
        <v>2008</v>
      </c>
      <c r="AF313" s="60">
        <v>1452.98</v>
      </c>
      <c r="AG313" s="59">
        <v>1651.979</v>
      </c>
      <c r="AH313" s="59">
        <v>2229.251</v>
      </c>
      <c r="AI313" s="61">
        <f t="shared" si="41"/>
        <v>-0.3699761081938922</v>
      </c>
      <c r="AJ313" s="61">
        <f t="shared" si="42"/>
        <v>0.13449491431467162</v>
      </c>
      <c r="AK313" s="61">
        <f t="shared" si="43"/>
        <v>0.012435017187884949</v>
      </c>
      <c r="AL313" s="61">
        <f t="shared" si="44"/>
        <v>-0.12994658665228898</v>
      </c>
      <c r="AM313" s="66">
        <v>0.001</v>
      </c>
    </row>
    <row r="314" spans="3:39" ht="15" hidden="1">
      <c r="C314" s="54">
        <f t="shared" si="24"/>
        <v>0.05</v>
      </c>
      <c r="D314" s="64">
        <f t="shared" si="25"/>
        <v>0.045</v>
      </c>
      <c r="E314" s="54">
        <f t="shared" si="26"/>
        <v>0.05</v>
      </c>
      <c r="F314" s="54">
        <f t="shared" si="27"/>
        <v>0.045</v>
      </c>
      <c r="G314" s="11">
        <f t="shared" si="55"/>
        <v>0.07</v>
      </c>
      <c r="H314" s="8">
        <f t="shared" si="56"/>
        <v>0.05</v>
      </c>
      <c r="I314" s="8">
        <f t="shared" si="36"/>
        <v>0.408711712598583</v>
      </c>
      <c r="J314" s="69">
        <f t="shared" si="37"/>
        <v>0.05</v>
      </c>
      <c r="K314" s="69">
        <f t="shared" si="38"/>
        <v>0.045</v>
      </c>
      <c r="L314" s="22">
        <f t="shared" si="39"/>
        <v>14.88485481396884</v>
      </c>
      <c r="M314" s="7"/>
      <c r="N314" s="7"/>
      <c r="O314" s="7">
        <f t="shared" si="45"/>
        <v>122</v>
      </c>
      <c r="P314" s="12">
        <f t="shared" si="48"/>
        <v>75912.75955124108</v>
      </c>
      <c r="Q314" s="15">
        <f t="shared" si="40"/>
        <v>59947.60912431926</v>
      </c>
      <c r="R314" s="12">
        <f t="shared" si="50"/>
        <v>-3031653.0475565884</v>
      </c>
      <c r="S314" s="13">
        <f t="shared" si="51"/>
        <v>-75902.02568632206</v>
      </c>
      <c r="T314" s="10">
        <f t="shared" si="30"/>
        <v>-3107555.0732429107</v>
      </c>
      <c r="V314" s="7"/>
      <c r="W314" s="7">
        <f t="shared" si="31"/>
        <v>122</v>
      </c>
      <c r="X314" s="12">
        <f t="shared" si="22"/>
        <v>75912.75955124108</v>
      </c>
      <c r="Y314" s="47">
        <f t="shared" si="32"/>
        <v>0</v>
      </c>
      <c r="Z314" s="12">
        <f t="shared" si="52"/>
        <v>0</v>
      </c>
      <c r="AA314" s="15">
        <f t="shared" si="53"/>
        <v>-164648.97214203</v>
      </c>
      <c r="AB314" s="13">
        <f t="shared" si="54"/>
        <v>-2451215.1654341514</v>
      </c>
      <c r="AC314" s="10">
        <f t="shared" si="49"/>
        <v>-2548570.174194416</v>
      </c>
      <c r="AL314" s="67">
        <f>9%*$C$102+2%</f>
        <v>0.065</v>
      </c>
      <c r="AM314" s="67">
        <v>0.045</v>
      </c>
    </row>
    <row r="315" spans="3:39" ht="15" hidden="1">
      <c r="C315" s="54">
        <f t="shared" si="24"/>
        <v>0.05</v>
      </c>
      <c r="D315" s="64">
        <f t="shared" si="25"/>
        <v>0.045</v>
      </c>
      <c r="E315" s="54">
        <f t="shared" si="26"/>
        <v>0.05</v>
      </c>
      <c r="F315" s="54">
        <f t="shared" si="27"/>
        <v>0.045</v>
      </c>
      <c r="G315" s="11">
        <f t="shared" si="55"/>
        <v>0.07</v>
      </c>
      <c r="H315" s="8">
        <f t="shared" si="56"/>
        <v>0.05</v>
      </c>
      <c r="I315" s="8">
        <f t="shared" si="36"/>
        <v>0.4107552711615759</v>
      </c>
      <c r="J315" s="69">
        <f t="shared" si="37"/>
        <v>0.05</v>
      </c>
      <c r="K315" s="69">
        <f t="shared" si="38"/>
        <v>0.045</v>
      </c>
      <c r="L315" s="22">
        <f t="shared" si="39"/>
        <v>15.554673280597436</v>
      </c>
      <c r="M315" s="7"/>
      <c r="N315" s="7"/>
      <c r="O315" s="7">
        <f t="shared" si="45"/>
        <v>123</v>
      </c>
      <c r="P315" s="12">
        <f t="shared" si="48"/>
        <v>79328.83373104692</v>
      </c>
      <c r="Q315" s="15">
        <f t="shared" si="40"/>
        <v>75902.02568632206</v>
      </c>
      <c r="R315" s="12">
        <f t="shared" si="50"/>
        <v>-3244681.999286846</v>
      </c>
      <c r="S315" s="13">
        <f t="shared" si="51"/>
        <v>-94347.1752135131</v>
      </c>
      <c r="T315" s="10">
        <f t="shared" si="30"/>
        <v>-3339029.1745003588</v>
      </c>
      <c r="V315" s="7"/>
      <c r="W315" s="7">
        <f t="shared" si="31"/>
        <v>123</v>
      </c>
      <c r="X315" s="12">
        <f t="shared" si="22"/>
        <v>79328.83373104692</v>
      </c>
      <c r="Y315" s="47">
        <f t="shared" si="32"/>
        <v>0</v>
      </c>
      <c r="Z315" s="12">
        <f t="shared" si="52"/>
        <v>0</v>
      </c>
      <c r="AA315" s="15">
        <f t="shared" si="53"/>
        <v>-172881.4207491315</v>
      </c>
      <c r="AB315" s="13">
        <f t="shared" si="54"/>
        <v>-2600718.823986164</v>
      </c>
      <c r="AC315" s="10">
        <f t="shared" si="49"/>
        <v>-2702588.2898766873</v>
      </c>
      <c r="AL315" s="67">
        <f aca="true" t="shared" si="57" ref="AL315:AL336">9%*$C$102+2%</f>
        <v>0.065</v>
      </c>
      <c r="AM315" s="67">
        <v>0.045</v>
      </c>
    </row>
    <row r="316" spans="3:39" ht="15" hidden="1">
      <c r="C316" s="54">
        <f t="shared" si="24"/>
        <v>0.05</v>
      </c>
      <c r="D316" s="64">
        <f t="shared" si="25"/>
        <v>0.045</v>
      </c>
      <c r="E316" s="54">
        <f t="shared" si="26"/>
        <v>0.05</v>
      </c>
      <c r="F316" s="54">
        <f t="shared" si="27"/>
        <v>0.045</v>
      </c>
      <c r="G316" s="11">
        <f t="shared" si="55"/>
        <v>0.07</v>
      </c>
      <c r="H316" s="8">
        <f t="shared" si="56"/>
        <v>0.05</v>
      </c>
      <c r="I316" s="8">
        <f t="shared" si="36"/>
        <v>0.41280904751738373</v>
      </c>
      <c r="J316" s="69">
        <f t="shared" si="37"/>
        <v>0.05</v>
      </c>
      <c r="K316" s="69">
        <f t="shared" si="38"/>
        <v>0.045</v>
      </c>
      <c r="L316" s="22">
        <f t="shared" si="39"/>
        <v>16.25463357822432</v>
      </c>
      <c r="M316" s="7"/>
      <c r="N316" s="7"/>
      <c r="O316" s="7">
        <f t="shared" si="45"/>
        <v>124</v>
      </c>
      <c r="P316" s="12">
        <f>IF(O316&lt;$A$43,0,$A$121*L316/$L$252)</f>
        <v>82898.63124894402</v>
      </c>
      <c r="Q316" s="15">
        <f t="shared" si="40"/>
        <v>94347.1752135131</v>
      </c>
      <c r="R316" s="12">
        <f t="shared" si="50"/>
        <v>-3484715.675579668</v>
      </c>
      <c r="S316" s="13">
        <f t="shared" si="51"/>
        <v>-100604.14275643323</v>
      </c>
      <c r="T316" s="10">
        <f t="shared" si="30"/>
        <v>-3585319.8183361012</v>
      </c>
      <c r="V316" s="7"/>
      <c r="W316" s="7">
        <f t="shared" si="31"/>
        <v>124</v>
      </c>
      <c r="X316" s="12">
        <f>P316</f>
        <v>82898.63124894402</v>
      </c>
      <c r="Y316" s="47">
        <f t="shared" si="32"/>
        <v>0</v>
      </c>
      <c r="Z316" s="12">
        <f t="shared" si="52"/>
        <v>0</v>
      </c>
      <c r="AA316" s="15">
        <f t="shared" si="53"/>
        <v>-181525.4917865881</v>
      </c>
      <c r="AB316" s="13">
        <f t="shared" si="54"/>
        <v>-2757839.2530564694</v>
      </c>
      <c r="AC316" s="10">
        <f>AA316*(1-I316)+AB316</f>
        <v>-2864429.3794785114</v>
      </c>
      <c r="AL316" s="67">
        <f t="shared" si="57"/>
        <v>0.065</v>
      </c>
      <c r="AM316" s="67">
        <v>0.045</v>
      </c>
    </row>
    <row r="317" spans="3:39" ht="15" hidden="1">
      <c r="C317" s="54">
        <f>AL318-$D$249</f>
        <v>0.05</v>
      </c>
      <c r="D317" s="64">
        <f>AM318</f>
        <v>0.045</v>
      </c>
      <c r="E317" s="54">
        <f>AL335-$D$249</f>
        <v>0.05</v>
      </c>
      <c r="F317" s="54">
        <f>AM335</f>
        <v>0.045</v>
      </c>
      <c r="G317" s="11">
        <f t="shared" si="55"/>
        <v>0.07</v>
      </c>
      <c r="H317" s="8">
        <f t="shared" si="56"/>
        <v>0.05</v>
      </c>
      <c r="I317" s="8">
        <f t="shared" si="36"/>
        <v>0.4148730927549706</v>
      </c>
      <c r="J317" s="69">
        <f t="shared" si="37"/>
        <v>0.05</v>
      </c>
      <c r="K317" s="69">
        <f t="shared" si="38"/>
        <v>0.045</v>
      </c>
      <c r="L317" s="22">
        <f t="shared" si="39"/>
        <v>16.986092089244412</v>
      </c>
      <c r="M317" s="7"/>
      <c r="N317" s="7"/>
      <c r="O317" s="7">
        <f t="shared" si="45"/>
        <v>125</v>
      </c>
      <c r="P317" s="12">
        <f>IF(O317&lt;$A$43,0,$A$121*L317/$L$252)</f>
        <v>86629.06965514651</v>
      </c>
      <c r="Q317" s="15">
        <f t="shared" si="40"/>
        <v>100604.14275643323</v>
      </c>
      <c r="R317" s="12">
        <f t="shared" si="50"/>
        <v>-3755657.3139525023</v>
      </c>
      <c r="S317" s="13">
        <f t="shared" si="51"/>
        <v>-91941.22887642917</v>
      </c>
      <c r="T317" s="10">
        <f>R317+S317</f>
        <v>-3847598.5428289315</v>
      </c>
      <c r="V317" s="7"/>
      <c r="W317" s="7">
        <f>W316+1</f>
        <v>125</v>
      </c>
      <c r="X317" s="12">
        <f>P317</f>
        <v>86629.06965514651</v>
      </c>
      <c r="Y317" s="47">
        <f>IF(W317&lt;70,0,AA317/LOOKUP(W317,$M$252:$N$296))*IF(AA317&lt;0,0,1)</f>
        <v>0</v>
      </c>
      <c r="Z317" s="12">
        <f t="shared" si="52"/>
        <v>0</v>
      </c>
      <c r="AA317" s="15">
        <f t="shared" si="53"/>
        <v>-190601.7663759175</v>
      </c>
      <c r="AB317" s="13">
        <f t="shared" si="54"/>
        <v>-2922923.730351287</v>
      </c>
      <c r="AC317" s="10">
        <f>AA317*(1-I317)+AB317</f>
        <v>-3034449.9524262673</v>
      </c>
      <c r="AL317" s="67">
        <f t="shared" si="57"/>
        <v>0.065</v>
      </c>
      <c r="AM317" s="67">
        <v>0.045</v>
      </c>
    </row>
    <row r="318" spans="3:39" ht="15" hidden="1">
      <c r="C318" s="54">
        <f>AL319-$D$249</f>
        <v>0.05</v>
      </c>
      <c r="D318" s="64">
        <f>AM319</f>
        <v>0.045</v>
      </c>
      <c r="E318" s="54">
        <f>AL336-$D$249</f>
        <v>0.05</v>
      </c>
      <c r="F318" s="54">
        <f>AM336</f>
        <v>0.045</v>
      </c>
      <c r="G318" s="11">
        <f t="shared" si="55"/>
        <v>0.07</v>
      </c>
      <c r="H318" s="8">
        <f t="shared" si="56"/>
        <v>0.05</v>
      </c>
      <c r="I318" s="8">
        <f>IF(OR(O318&lt;$C$43,O318&lt;$O$252+4),$C$68,$C$69)*FV($C$71,O318-$O$252,,-1)</f>
        <v>0.41694745821874535</v>
      </c>
      <c r="J318" s="69">
        <f>IF($I$129=1,G318,IF($I$129=2,C318,E318))</f>
        <v>0.05</v>
      </c>
      <c r="K318" s="69">
        <f>IF($I$129=1,H318,IF($I$129=2,D318,F318))</f>
        <v>0.045</v>
      </c>
      <c r="L318" s="22">
        <f>L317*(1+K317)</f>
        <v>17.750466233260408</v>
      </c>
      <c r="M318" s="7"/>
      <c r="N318" s="7"/>
      <c r="O318" s="7">
        <f t="shared" si="45"/>
        <v>126</v>
      </c>
      <c r="P318" s="12">
        <f>IF(O318&lt;$A$43,0,$A$121*L318/$L$252)</f>
        <v>90527.37778962808</v>
      </c>
      <c r="Q318" s="15">
        <f>IF(S317=0,P318,IF(S317&gt;P318,0,IF(S317&lt;0,-S317,0)))</f>
        <v>91941.22887642917</v>
      </c>
      <c r="R318" s="12">
        <f t="shared" si="50"/>
        <v>-4046559.4259754717</v>
      </c>
      <c r="S318" s="13">
        <f t="shared" si="51"/>
        <v>-80451.59033762409</v>
      </c>
      <c r="T318" s="10">
        <f>R318+S318</f>
        <v>-4127011.016313096</v>
      </c>
      <c r="V318" s="7"/>
      <c r="W318" s="7">
        <f>W317+1</f>
        <v>126</v>
      </c>
      <c r="X318" s="12">
        <f>P318</f>
        <v>90527.37778962808</v>
      </c>
      <c r="Y318" s="47">
        <f>IF(W318&lt;70,0,AA318/LOOKUP(W318,$M$252:$N$296))*IF(AA318&lt;0,0,1)</f>
        <v>0</v>
      </c>
      <c r="Z318" s="12">
        <f t="shared" si="52"/>
        <v>0</v>
      </c>
      <c r="AA318" s="15">
        <f t="shared" si="53"/>
        <v>-200131.8546947134</v>
      </c>
      <c r="AB318" s="13">
        <f t="shared" si="54"/>
        <v>-3096334.0911192317</v>
      </c>
      <c r="AC318" s="10">
        <f>AA318*(1-I318)+AB318</f>
        <v>-3213021.477690381</v>
      </c>
      <c r="AL318" s="67">
        <f t="shared" si="57"/>
        <v>0.065</v>
      </c>
      <c r="AM318" s="67">
        <v>0.045</v>
      </c>
    </row>
    <row r="319" spans="3:39" ht="15" hidden="1">
      <c r="C319" s="52"/>
      <c r="D319" s="52"/>
      <c r="E319" s="52"/>
      <c r="F319" s="52"/>
      <c r="AL319" s="67">
        <f t="shared" si="57"/>
        <v>0.065</v>
      </c>
      <c r="AM319" s="67">
        <v>0.045</v>
      </c>
    </row>
    <row r="320" spans="3:39" ht="15" hidden="1">
      <c r="C320" s="52"/>
      <c r="D320" s="52"/>
      <c r="E320" s="52"/>
      <c r="F320" s="52"/>
      <c r="AL320" s="67">
        <f t="shared" si="57"/>
        <v>0.065</v>
      </c>
      <c r="AM320" s="67">
        <v>0.045</v>
      </c>
    </row>
    <row r="321" spans="3:39" ht="15" hidden="1">
      <c r="C321" s="52"/>
      <c r="D321" s="52"/>
      <c r="E321" s="52"/>
      <c r="F321" s="52"/>
      <c r="AL321" s="67">
        <f t="shared" si="57"/>
        <v>0.065</v>
      </c>
      <c r="AM321" s="67">
        <v>0.045</v>
      </c>
    </row>
    <row r="322" spans="3:39" ht="15" hidden="1">
      <c r="C322" s="52"/>
      <c r="D322" s="52"/>
      <c r="E322" s="52"/>
      <c r="F322" s="52"/>
      <c r="AL322" s="67">
        <f t="shared" si="57"/>
        <v>0.065</v>
      </c>
      <c r="AM322" s="67">
        <v>0.045</v>
      </c>
    </row>
    <row r="323" spans="3:39" ht="15" hidden="1">
      <c r="C323" s="52"/>
      <c r="D323" s="52"/>
      <c r="E323" s="52"/>
      <c r="F323" s="52"/>
      <c r="AL323" s="67">
        <f t="shared" si="57"/>
        <v>0.065</v>
      </c>
      <c r="AM323" s="67">
        <v>0.045</v>
      </c>
    </row>
    <row r="324" spans="3:39" ht="15" hidden="1">
      <c r="C324" s="52"/>
      <c r="D324" s="52"/>
      <c r="E324" s="52"/>
      <c r="F324" s="52"/>
      <c r="AL324" s="67">
        <f t="shared" si="57"/>
        <v>0.065</v>
      </c>
      <c r="AM324" s="67">
        <v>0.045</v>
      </c>
    </row>
    <row r="325" spans="3:39" ht="15" hidden="1">
      <c r="C325" s="52"/>
      <c r="D325" s="52"/>
      <c r="E325" s="52"/>
      <c r="F325" s="52"/>
      <c r="AL325" s="67">
        <f t="shared" si="57"/>
        <v>0.065</v>
      </c>
      <c r="AM325" s="67">
        <v>0.045</v>
      </c>
    </row>
    <row r="326" spans="3:39" ht="15" hidden="1">
      <c r="C326" s="52"/>
      <c r="D326" s="52"/>
      <c r="E326" s="52"/>
      <c r="F326" s="52"/>
      <c r="AL326" s="67">
        <f t="shared" si="57"/>
        <v>0.065</v>
      </c>
      <c r="AM326" s="67">
        <v>0.045</v>
      </c>
    </row>
    <row r="327" spans="3:39" ht="15" hidden="1">
      <c r="C327" s="52"/>
      <c r="D327" s="52"/>
      <c r="E327" s="52"/>
      <c r="F327" s="52"/>
      <c r="AL327" s="67">
        <f t="shared" si="57"/>
        <v>0.065</v>
      </c>
      <c r="AM327" s="67">
        <v>0.045</v>
      </c>
    </row>
    <row r="328" spans="3:39" ht="15" hidden="1">
      <c r="C328" s="52"/>
      <c r="D328" s="52"/>
      <c r="E328" s="52"/>
      <c r="F328" s="52"/>
      <c r="AL328" s="67">
        <f t="shared" si="57"/>
        <v>0.065</v>
      </c>
      <c r="AM328" s="67">
        <v>0.045</v>
      </c>
    </row>
    <row r="329" spans="3:39" ht="15" hidden="1">
      <c r="C329" s="52"/>
      <c r="D329" s="52"/>
      <c r="E329" s="52"/>
      <c r="F329" s="52"/>
      <c r="AL329" s="67">
        <f t="shared" si="57"/>
        <v>0.065</v>
      </c>
      <c r="AM329" s="67">
        <v>0.045</v>
      </c>
    </row>
    <row r="330" spans="3:39" ht="15" hidden="1">
      <c r="C330" s="52"/>
      <c r="D330" s="52"/>
      <c r="E330" s="52"/>
      <c r="F330" s="52"/>
      <c r="AL330" s="67">
        <f t="shared" si="57"/>
        <v>0.065</v>
      </c>
      <c r="AM330" s="67">
        <v>0.045</v>
      </c>
    </row>
    <row r="331" spans="3:39" ht="15" hidden="1">
      <c r="C331" s="52"/>
      <c r="D331" s="52"/>
      <c r="E331" s="52"/>
      <c r="F331" s="52"/>
      <c r="AL331" s="67">
        <f t="shared" si="57"/>
        <v>0.065</v>
      </c>
      <c r="AM331" s="67">
        <v>0.045</v>
      </c>
    </row>
    <row r="332" spans="3:39" ht="15" hidden="1">
      <c r="C332" s="52"/>
      <c r="D332" s="52"/>
      <c r="E332" s="52"/>
      <c r="F332" s="52"/>
      <c r="AL332" s="67">
        <f t="shared" si="57"/>
        <v>0.065</v>
      </c>
      <c r="AM332" s="67">
        <v>0.045</v>
      </c>
    </row>
    <row r="333" spans="3:39" ht="15" hidden="1">
      <c r="C333" s="52"/>
      <c r="D333" s="52"/>
      <c r="E333" s="52"/>
      <c r="F333" s="52"/>
      <c r="AL333" s="67">
        <f t="shared" si="57"/>
        <v>0.065</v>
      </c>
      <c r="AM333" s="67">
        <v>0.045</v>
      </c>
    </row>
    <row r="334" spans="3:39" ht="15" hidden="1">
      <c r="C334" s="52"/>
      <c r="D334" s="52"/>
      <c r="E334" s="52"/>
      <c r="F334" s="52"/>
      <c r="AL334" s="67">
        <f t="shared" si="57"/>
        <v>0.065</v>
      </c>
      <c r="AM334" s="67">
        <v>0.045</v>
      </c>
    </row>
    <row r="335" spans="3:39" ht="15" hidden="1">
      <c r="C335" s="52"/>
      <c r="D335" s="52"/>
      <c r="E335" s="52"/>
      <c r="F335" s="52"/>
      <c r="AL335" s="67">
        <f t="shared" si="57"/>
        <v>0.065</v>
      </c>
      <c r="AM335" s="67">
        <v>0.045</v>
      </c>
    </row>
    <row r="336" spans="3:39" ht="15" hidden="1">
      <c r="C336" s="52"/>
      <c r="D336" s="52"/>
      <c r="E336" s="52"/>
      <c r="F336" s="52"/>
      <c r="AL336" s="67">
        <f t="shared" si="57"/>
        <v>0.065</v>
      </c>
      <c r="AM336" s="67">
        <v>0.045</v>
      </c>
    </row>
    <row r="337" spans="3:39" ht="15" hidden="1">
      <c r="C337" s="52"/>
      <c r="D337" s="52"/>
      <c r="E337" s="52"/>
      <c r="F337" s="52"/>
      <c r="AL337" s="67"/>
      <c r="AM337" s="67"/>
    </row>
    <row r="338" spans="3:39" ht="15" hidden="1">
      <c r="C338" s="52"/>
      <c r="D338" s="52"/>
      <c r="E338" s="52"/>
      <c r="F338" s="52"/>
      <c r="AL338" s="67"/>
      <c r="AM338" s="67"/>
    </row>
    <row r="339" spans="38:39" ht="15">
      <c r="AL339" s="67"/>
      <c r="AM339" s="67"/>
    </row>
    <row r="340" spans="38:39" ht="15">
      <c r="AL340" s="67"/>
      <c r="AM340" s="67"/>
    </row>
  </sheetData>
  <sheetProtection password="EA69" sheet="1" objects="1" scenarios="1"/>
  <conditionalFormatting sqref="C142">
    <cfRule type="cellIs" priority="4" dxfId="14" operator="greaterThan" stopIfTrue="1">
      <formula>0</formula>
    </cfRule>
    <cfRule type="cellIs" priority="6" dxfId="0" operator="greaterThan" stopIfTrue="1">
      <formula>13959</formula>
    </cfRule>
    <cfRule type="cellIs" priority="7" dxfId="1" operator="greaterThan" stopIfTrue="1">
      <formula>0</formula>
    </cfRule>
    <cfRule type="expression" priority="8" dxfId="1" stopIfTrue="1">
      <formula>"if(lookup(59,$G$157:$H$223)&gt;0"</formula>
    </cfRule>
  </conditionalFormatting>
  <conditionalFormatting sqref="C143:C144">
    <cfRule type="cellIs" priority="5" dxfId="15" operator="greaterThan" stopIfTrue="1">
      <formula>0</formula>
    </cfRule>
  </conditionalFormatting>
  <conditionalFormatting sqref="C143:C144">
    <cfRule type="cellIs" priority="2" dxfId="14" operator="greaterThan" stopIfTrue="1">
      <formula>0</formula>
    </cfRule>
  </conditionalFormatting>
  <dataValidations count="3">
    <dataValidation type="decimal" allowBlank="1" showInputMessage="1" showErrorMessage="1" error="Allocation must be between 20% and 70%" sqref="C102">
      <formula1>0.2</formula1>
      <formula2>0.7</formula2>
    </dataValidation>
    <dataValidation type="whole" operator="greaterThan" allowBlank="1" showInputMessage="1" showErrorMessage="1" error="Must use a whole number, e.g., 60, not 60.5." sqref="A43 C43">
      <formula1>0</formula1>
    </dataValidation>
    <dataValidation type="whole" operator="greaterThan" allowBlank="1" showInputMessage="1" showErrorMessage="1" error="Must use whole number, e.g., 60, not 60.5." sqref="A41 C41">
      <formula1>0</formula1>
    </dataValidation>
  </dataValidations>
  <hyperlinks>
    <hyperlink ref="C95" r:id="rId1" display="www.analyzenow.com."/>
  </hyperlink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K Hebeler</dc:creator>
  <cp:keywords/>
  <dc:description/>
  <cp:lastModifiedBy>Henry</cp:lastModifiedBy>
  <dcterms:created xsi:type="dcterms:W3CDTF">2009-12-08T04:47:20Z</dcterms:created>
  <dcterms:modified xsi:type="dcterms:W3CDTF">2015-10-03T17:53:20Z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